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ml.chartshapes+xml"/>
  <Override PartName="/xl/charts/chart6.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7.xml" ContentType="application/vnd.openxmlformats-officedocument.drawingml.chart+xml"/>
  <Override PartName="/xl/drawings/drawing11.xml" ContentType="application/vnd.openxmlformats-officedocument.drawingml.chartshapes+xml"/>
  <Override PartName="/xl/charts/chart8.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nverosimil\Documents\website\"/>
    </mc:Choice>
  </mc:AlternateContent>
  <bookViews>
    <workbookView xWindow="0" yWindow="0" windowWidth="22536" windowHeight="10320" tabRatio="684"/>
  </bookViews>
  <sheets>
    <sheet name="Index" sheetId="3" r:id="rId1"/>
    <sheet name="T1" sheetId="22" r:id="rId2"/>
    <sheet name="F1-PSZ" sheetId="8" r:id="rId3"/>
    <sheet name="F2-AS" sheetId="6" r:id="rId4"/>
    <sheet name="F3-Real" sheetId="5" r:id="rId5"/>
    <sheet name="TA1" sheetId="4" r:id="rId6"/>
    <sheet name="TA2" sheetId="23" r:id="rId7"/>
    <sheet name="FA1-Partial" sheetId="7" r:id="rId8"/>
    <sheet name="Data" sheetId="2" r:id="rId9"/>
  </sheets>
  <calcPr calcId="152511"/>
</workbook>
</file>

<file path=xl/calcChain.xml><?xml version="1.0" encoding="utf-8"?>
<calcChain xmlns="http://schemas.openxmlformats.org/spreadsheetml/2006/main">
  <c r="E134" i="5" l="1"/>
  <c r="E135" i="5"/>
  <c r="E136" i="5"/>
  <c r="E137" i="5"/>
  <c r="D83" i="5"/>
  <c r="E83" i="5"/>
  <c r="D85" i="5"/>
  <c r="E85" i="5"/>
  <c r="D87" i="5"/>
  <c r="E87" i="5"/>
  <c r="D89" i="5"/>
  <c r="E89" i="5"/>
  <c r="D91" i="5"/>
  <c r="E91" i="5"/>
  <c r="D93" i="5"/>
  <c r="E93" i="5"/>
  <c r="D94" i="5"/>
  <c r="E94" i="5"/>
  <c r="D95" i="5"/>
  <c r="E95" i="5"/>
  <c r="D96" i="5"/>
  <c r="E96" i="5"/>
  <c r="D97" i="5"/>
  <c r="E97" i="5"/>
  <c r="D98" i="5"/>
  <c r="E98" i="5"/>
  <c r="D99" i="5"/>
  <c r="E99" i="5"/>
  <c r="D100" i="5"/>
  <c r="E100" i="5"/>
  <c r="D101" i="5"/>
  <c r="E101" i="5"/>
  <c r="D102" i="5"/>
  <c r="E102" i="5"/>
  <c r="D103" i="5"/>
  <c r="E103" i="5"/>
  <c r="D104" i="5"/>
  <c r="E104" i="5"/>
  <c r="D105" i="5"/>
  <c r="E105" i="5"/>
  <c r="D106" i="5"/>
  <c r="E106" i="5"/>
  <c r="D107" i="5"/>
  <c r="E107" i="5"/>
  <c r="D108" i="5"/>
  <c r="E108" i="5"/>
  <c r="D109" i="5"/>
  <c r="E109" i="5"/>
  <c r="D110" i="5"/>
  <c r="E110" i="5"/>
  <c r="D111" i="5"/>
  <c r="E111" i="5"/>
  <c r="D112" i="5"/>
  <c r="E112" i="5"/>
  <c r="D113" i="5"/>
  <c r="E113" i="5"/>
  <c r="D114" i="5"/>
  <c r="E114" i="5"/>
  <c r="D115" i="5"/>
  <c r="E115" i="5"/>
  <c r="D116" i="5"/>
  <c r="E116" i="5"/>
  <c r="D117" i="5"/>
  <c r="E117" i="5"/>
  <c r="D118" i="5"/>
  <c r="E118" i="5"/>
  <c r="D119" i="5"/>
  <c r="E119" i="5"/>
  <c r="D120" i="5"/>
  <c r="E120" i="5"/>
  <c r="D121" i="5"/>
  <c r="E121" i="5"/>
  <c r="D122" i="5"/>
  <c r="E122" i="5"/>
  <c r="D123" i="5"/>
  <c r="E123" i="5"/>
  <c r="D124" i="5"/>
  <c r="E124" i="5"/>
  <c r="D125" i="5"/>
  <c r="E125" i="5"/>
  <c r="D126" i="5"/>
  <c r="E126" i="5"/>
  <c r="D127" i="5"/>
  <c r="E127" i="5"/>
  <c r="D128" i="5"/>
  <c r="E128" i="5"/>
  <c r="D129" i="5"/>
  <c r="E129" i="5"/>
  <c r="D130" i="5"/>
  <c r="E130" i="5"/>
  <c r="D131" i="5"/>
  <c r="E131" i="5"/>
  <c r="D132" i="5"/>
  <c r="E132" i="5"/>
  <c r="D133" i="5"/>
  <c r="E133" i="5"/>
  <c r="E81" i="5"/>
  <c r="D81" i="5"/>
  <c r="D43" i="5"/>
  <c r="D44" i="5"/>
  <c r="D45" i="5"/>
  <c r="D46" i="5"/>
  <c r="D47" i="5"/>
  <c r="D48" i="5"/>
  <c r="D49" i="5"/>
  <c r="D50" i="5"/>
  <c r="D51" i="5"/>
  <c r="D52" i="5"/>
  <c r="D53" i="5"/>
  <c r="D54" i="5"/>
  <c r="D55" i="5"/>
  <c r="D56" i="5"/>
  <c r="D57" i="5"/>
  <c r="D58" i="5"/>
  <c r="D59" i="5"/>
  <c r="D60" i="5"/>
  <c r="D61" i="5"/>
  <c r="D62" i="5"/>
  <c r="D63" i="5"/>
  <c r="D65" i="5"/>
  <c r="D66" i="5"/>
  <c r="D67" i="5"/>
  <c r="D68" i="5"/>
  <c r="D69" i="5"/>
  <c r="D70" i="5"/>
  <c r="D71" i="5"/>
  <c r="D73" i="5"/>
  <c r="D74" i="5"/>
  <c r="D75" i="5"/>
  <c r="D77" i="5"/>
  <c r="D79" i="5"/>
  <c r="D38" i="5"/>
  <c r="AZ109" i="2" l="1"/>
  <c r="AZ112" i="2" s="1"/>
  <c r="AY109" i="2"/>
  <c r="AY112" i="2" s="1"/>
  <c r="AX109" i="2"/>
  <c r="AX112" i="2" s="1"/>
  <c r="AZ106" i="2"/>
  <c r="AY106" i="2"/>
  <c r="AX106" i="2"/>
  <c r="J85" i="5" l="1"/>
  <c r="L85" i="5" s="1"/>
  <c r="E10" i="22" l="1"/>
  <c r="F10" i="22"/>
  <c r="B10" i="22"/>
  <c r="H15" i="23"/>
  <c r="G15" i="23"/>
  <c r="F15" i="23"/>
  <c r="D15" i="23"/>
  <c r="C15" i="23"/>
  <c r="B15" i="23"/>
  <c r="H13" i="23"/>
  <c r="G13" i="23"/>
  <c r="F13" i="23"/>
  <c r="D13" i="23"/>
  <c r="C13" i="23"/>
  <c r="B13" i="23"/>
  <c r="H12" i="23"/>
  <c r="G12" i="23"/>
  <c r="F12" i="23"/>
  <c r="D12" i="23"/>
  <c r="C12" i="23"/>
  <c r="B12" i="23"/>
  <c r="H10" i="23"/>
  <c r="G10" i="23"/>
  <c r="F10" i="23"/>
  <c r="D10" i="23"/>
  <c r="C10" i="23"/>
  <c r="B10" i="23"/>
  <c r="H9" i="23"/>
  <c r="G9" i="23"/>
  <c r="F9" i="23"/>
  <c r="D9" i="23"/>
  <c r="C9" i="23"/>
  <c r="B9" i="23"/>
  <c r="H7" i="23"/>
  <c r="G7" i="23"/>
  <c r="F7" i="23"/>
  <c r="D7" i="23"/>
  <c r="C7" i="23"/>
  <c r="B7" i="23"/>
  <c r="H6" i="23"/>
  <c r="G6" i="23"/>
  <c r="F6" i="23"/>
  <c r="D6" i="23"/>
  <c r="C6" i="23"/>
  <c r="B6" i="23"/>
  <c r="C9" i="22"/>
  <c r="B9" i="22"/>
  <c r="F15" i="22"/>
  <c r="E15" i="22"/>
  <c r="F13" i="22"/>
  <c r="E13" i="22"/>
  <c r="F12" i="22"/>
  <c r="E12" i="22"/>
  <c r="F9" i="22"/>
  <c r="E9" i="22"/>
  <c r="F7" i="22"/>
  <c r="E7" i="22"/>
  <c r="F6" i="22"/>
  <c r="E6" i="22"/>
  <c r="C15" i="22"/>
  <c r="B15" i="22"/>
  <c r="C13" i="22"/>
  <c r="B13" i="22"/>
  <c r="C12" i="22"/>
  <c r="B12" i="22"/>
  <c r="C10" i="22"/>
  <c r="C7" i="22"/>
  <c r="B7" i="22"/>
  <c r="C6" i="22"/>
  <c r="B6" i="22"/>
  <c r="T61" i="4" l="1"/>
  <c r="U61" i="4"/>
  <c r="V61" i="4"/>
  <c r="T62" i="4"/>
  <c r="U62" i="4"/>
  <c r="V62" i="4"/>
  <c r="T63" i="4"/>
  <c r="U63" i="4"/>
  <c r="V63" i="4"/>
  <c r="T64" i="4"/>
  <c r="U64" i="4"/>
  <c r="V64" i="4"/>
  <c r="T65" i="4"/>
  <c r="U65" i="4"/>
  <c r="V65" i="4"/>
  <c r="T66" i="4"/>
  <c r="U66" i="4"/>
  <c r="V66" i="4"/>
  <c r="T67" i="4"/>
  <c r="U67" i="4"/>
  <c r="V67" i="4"/>
  <c r="T68" i="4"/>
  <c r="U68" i="4"/>
  <c r="V68" i="4"/>
  <c r="T69" i="4"/>
  <c r="U69" i="4"/>
  <c r="V69" i="4"/>
  <c r="T70" i="4"/>
  <c r="U70" i="4"/>
  <c r="V70" i="4"/>
  <c r="T71" i="4"/>
  <c r="U71" i="4"/>
  <c r="V71" i="4"/>
  <c r="T72" i="4"/>
  <c r="U72" i="4"/>
  <c r="V72" i="4"/>
  <c r="T73" i="4"/>
  <c r="U73" i="4"/>
  <c r="V73" i="4"/>
  <c r="T74" i="4"/>
  <c r="U74" i="4"/>
  <c r="V74" i="4"/>
  <c r="T75" i="4"/>
  <c r="U75" i="4"/>
  <c r="V75" i="4"/>
  <c r="T76" i="4"/>
  <c r="U76" i="4"/>
  <c r="V76" i="4"/>
  <c r="T77" i="4"/>
  <c r="U77" i="4"/>
  <c r="V77" i="4"/>
  <c r="T78" i="4"/>
  <c r="U78" i="4"/>
  <c r="V78" i="4"/>
  <c r="T79" i="4"/>
  <c r="U79" i="4"/>
  <c r="V79" i="4"/>
  <c r="T80" i="4"/>
  <c r="U80" i="4"/>
  <c r="V80" i="4"/>
  <c r="T81" i="4"/>
  <c r="U81" i="4"/>
  <c r="V81" i="4"/>
  <c r="T82" i="4"/>
  <c r="U82" i="4"/>
  <c r="V82" i="4"/>
  <c r="T83" i="4"/>
  <c r="U83" i="4"/>
  <c r="V83" i="4"/>
  <c r="T84" i="4"/>
  <c r="U84" i="4"/>
  <c r="V84" i="4"/>
  <c r="T85" i="4"/>
  <c r="U85" i="4"/>
  <c r="V85" i="4"/>
  <c r="T86" i="4"/>
  <c r="U86" i="4"/>
  <c r="V86" i="4"/>
  <c r="T87" i="4"/>
  <c r="U87" i="4"/>
  <c r="V87" i="4"/>
  <c r="T88" i="4"/>
  <c r="U88" i="4"/>
  <c r="V88" i="4"/>
  <c r="T89" i="4"/>
  <c r="U89" i="4"/>
  <c r="V89" i="4"/>
  <c r="T90" i="4"/>
  <c r="U90" i="4"/>
  <c r="V90" i="4"/>
  <c r="T91" i="4"/>
  <c r="U91" i="4"/>
  <c r="V91" i="4"/>
  <c r="T92" i="4"/>
  <c r="U92" i="4"/>
  <c r="V92" i="4"/>
  <c r="T93" i="4"/>
  <c r="U93" i="4"/>
  <c r="V93" i="4"/>
  <c r="T94" i="4"/>
  <c r="U94" i="4"/>
  <c r="V94" i="4"/>
  <c r="T95" i="4"/>
  <c r="U95" i="4"/>
  <c r="V95" i="4"/>
  <c r="T96" i="4"/>
  <c r="U96" i="4"/>
  <c r="V96" i="4"/>
  <c r="T97" i="4"/>
  <c r="U97" i="4"/>
  <c r="V97" i="4"/>
  <c r="T98" i="4"/>
  <c r="U98" i="4"/>
  <c r="V98" i="4"/>
  <c r="T99" i="4"/>
  <c r="U99" i="4"/>
  <c r="V99" i="4"/>
  <c r="T100" i="4"/>
  <c r="U100" i="4"/>
  <c r="V100" i="4"/>
  <c r="T101" i="4"/>
  <c r="U101" i="4"/>
  <c r="V101" i="4"/>
  <c r="T102" i="4"/>
  <c r="U102" i="4"/>
  <c r="V102" i="4"/>
  <c r="T103" i="4"/>
  <c r="U103" i="4"/>
  <c r="V103" i="4"/>
  <c r="T104" i="4"/>
  <c r="U104" i="4"/>
  <c r="V104" i="4"/>
  <c r="T105" i="4"/>
  <c r="U105" i="4"/>
  <c r="V105" i="4"/>
  <c r="T106" i="4"/>
  <c r="U106" i="4"/>
  <c r="V106" i="4"/>
  <c r="T107" i="4"/>
  <c r="U107" i="4"/>
  <c r="V107" i="4"/>
  <c r="T108" i="4"/>
  <c r="U108" i="4"/>
  <c r="V108" i="4"/>
  <c r="T109" i="4"/>
  <c r="U109" i="4"/>
  <c r="V109" i="4"/>
  <c r="V60" i="4"/>
  <c r="U60" i="4"/>
  <c r="T60" i="4"/>
  <c r="V58" i="4"/>
  <c r="U58" i="4"/>
  <c r="T58" i="4"/>
  <c r="V56" i="4"/>
  <c r="U56" i="4"/>
  <c r="T56" i="4"/>
  <c r="V54" i="4"/>
  <c r="U54" i="4"/>
  <c r="T54" i="4"/>
  <c r="B39" i="7" l="1"/>
  <c r="D39" i="7"/>
  <c r="B41" i="7"/>
  <c r="D41" i="7"/>
  <c r="B43" i="7"/>
  <c r="D43" i="7"/>
  <c r="B45" i="7"/>
  <c r="D45" i="7"/>
  <c r="B47" i="7"/>
  <c r="D47" i="7"/>
  <c r="B49" i="7"/>
  <c r="D49" i="7"/>
  <c r="B50" i="7"/>
  <c r="D50" i="7"/>
  <c r="B51" i="7"/>
  <c r="D51" i="7"/>
  <c r="B52" i="7"/>
  <c r="D52" i="7"/>
  <c r="B53" i="7"/>
  <c r="D53" i="7"/>
  <c r="B54" i="7"/>
  <c r="D54" i="7"/>
  <c r="B55" i="7"/>
  <c r="D55" i="7"/>
  <c r="B56" i="7"/>
  <c r="D56" i="7"/>
  <c r="B57" i="7"/>
  <c r="D57" i="7"/>
  <c r="B58" i="7"/>
  <c r="D58" i="7"/>
  <c r="B59" i="7"/>
  <c r="D59" i="7"/>
  <c r="B60" i="7"/>
  <c r="D60" i="7"/>
  <c r="B61" i="7"/>
  <c r="D61" i="7"/>
  <c r="B62" i="7"/>
  <c r="D62" i="7"/>
  <c r="B63" i="7"/>
  <c r="D63" i="7"/>
  <c r="B64" i="7"/>
  <c r="D64" i="7"/>
  <c r="B65" i="7"/>
  <c r="D65" i="7"/>
  <c r="B66" i="7"/>
  <c r="D66" i="7"/>
  <c r="B67" i="7"/>
  <c r="D67" i="7"/>
  <c r="B68" i="7"/>
  <c r="D68" i="7"/>
  <c r="B69" i="7"/>
  <c r="D69" i="7"/>
  <c r="B70" i="7"/>
  <c r="D70" i="7"/>
  <c r="B71" i="7"/>
  <c r="D71" i="7"/>
  <c r="B72" i="7"/>
  <c r="D72" i="7"/>
  <c r="B73" i="7"/>
  <c r="D73" i="7"/>
  <c r="B74" i="7"/>
  <c r="D74" i="7"/>
  <c r="B75" i="7"/>
  <c r="D75" i="7"/>
  <c r="B76" i="7"/>
  <c r="D76" i="7"/>
  <c r="B77" i="7"/>
  <c r="D77" i="7"/>
  <c r="B78" i="7"/>
  <c r="D78" i="7"/>
  <c r="B79" i="7"/>
  <c r="D79" i="7"/>
  <c r="B80" i="7"/>
  <c r="D80" i="7"/>
  <c r="B81" i="7"/>
  <c r="D81" i="7"/>
  <c r="B82" i="7"/>
  <c r="D82" i="7"/>
  <c r="B83" i="7"/>
  <c r="D83" i="7"/>
  <c r="B84" i="7"/>
  <c r="D84" i="7"/>
  <c r="B85" i="7"/>
  <c r="D85" i="7"/>
  <c r="B86" i="7"/>
  <c r="D86" i="7"/>
  <c r="B87" i="7"/>
  <c r="D87" i="7"/>
  <c r="B88" i="7"/>
  <c r="D88" i="7"/>
  <c r="B89" i="7"/>
  <c r="D89" i="7"/>
  <c r="D37" i="7"/>
  <c r="B37" i="7"/>
  <c r="B39" i="6"/>
  <c r="D39" i="6"/>
  <c r="B41" i="6"/>
  <c r="D41" i="6"/>
  <c r="B43" i="6"/>
  <c r="D43" i="6"/>
  <c r="B45" i="6"/>
  <c r="D45" i="6"/>
  <c r="B47" i="6"/>
  <c r="D47" i="6"/>
  <c r="B49" i="6"/>
  <c r="D49" i="6"/>
  <c r="B50" i="6"/>
  <c r="D50" i="6"/>
  <c r="B51" i="6"/>
  <c r="D51" i="6"/>
  <c r="B52" i="6"/>
  <c r="D52" i="6"/>
  <c r="B53" i="6"/>
  <c r="D53" i="6"/>
  <c r="B54" i="6"/>
  <c r="D54" i="6"/>
  <c r="B55" i="6"/>
  <c r="D55" i="6"/>
  <c r="B56" i="6"/>
  <c r="D56" i="6"/>
  <c r="B57" i="6"/>
  <c r="D57" i="6"/>
  <c r="B58" i="6"/>
  <c r="D58" i="6"/>
  <c r="B59" i="6"/>
  <c r="D59" i="6"/>
  <c r="B60" i="6"/>
  <c r="D60" i="6"/>
  <c r="B61" i="6"/>
  <c r="D61" i="6"/>
  <c r="B62" i="6"/>
  <c r="D62" i="6"/>
  <c r="B63" i="6"/>
  <c r="D63" i="6"/>
  <c r="B64" i="6"/>
  <c r="D64" i="6"/>
  <c r="B65" i="6"/>
  <c r="D65" i="6"/>
  <c r="B66" i="6"/>
  <c r="D66" i="6"/>
  <c r="B67" i="6"/>
  <c r="D67" i="6"/>
  <c r="B68" i="6"/>
  <c r="D68" i="6"/>
  <c r="B69" i="6"/>
  <c r="D69" i="6"/>
  <c r="B70" i="6"/>
  <c r="D70" i="6"/>
  <c r="B71" i="6"/>
  <c r="D71" i="6"/>
  <c r="B72" i="6"/>
  <c r="D72" i="6"/>
  <c r="B73" i="6"/>
  <c r="D73" i="6"/>
  <c r="B74" i="6"/>
  <c r="D74" i="6"/>
  <c r="B75" i="6"/>
  <c r="D75" i="6"/>
  <c r="B76" i="6"/>
  <c r="D76" i="6"/>
  <c r="B77" i="6"/>
  <c r="D77" i="6"/>
  <c r="B78" i="6"/>
  <c r="D78" i="6"/>
  <c r="B79" i="6"/>
  <c r="D79" i="6"/>
  <c r="B80" i="6"/>
  <c r="D80" i="6"/>
  <c r="B81" i="6"/>
  <c r="D81" i="6"/>
  <c r="B82" i="6"/>
  <c r="D82" i="6"/>
  <c r="B83" i="6"/>
  <c r="D83" i="6"/>
  <c r="B84" i="6"/>
  <c r="D84" i="6"/>
  <c r="B85" i="6"/>
  <c r="D85" i="6"/>
  <c r="B86" i="6"/>
  <c r="D86" i="6"/>
  <c r="B87" i="6"/>
  <c r="D87" i="6"/>
  <c r="B88" i="6"/>
  <c r="D88" i="6"/>
  <c r="B89" i="6"/>
  <c r="D89" i="6"/>
  <c r="D37" i="6"/>
  <c r="B37" i="6"/>
  <c r="B78" i="8"/>
  <c r="B40" i="8"/>
  <c r="D40" i="8"/>
  <c r="B41" i="8"/>
  <c r="D41" i="8"/>
  <c r="B42" i="8"/>
  <c r="D42" i="8"/>
  <c r="B43" i="8"/>
  <c r="D43" i="8"/>
  <c r="B44" i="8"/>
  <c r="D44" i="8"/>
  <c r="B45" i="8"/>
  <c r="D45" i="8"/>
  <c r="B46" i="8"/>
  <c r="D46" i="8"/>
  <c r="B47" i="8"/>
  <c r="D47" i="8"/>
  <c r="B48" i="8"/>
  <c r="D48" i="8"/>
  <c r="B49" i="8"/>
  <c r="D49" i="8"/>
  <c r="B50" i="8"/>
  <c r="D50" i="8"/>
  <c r="B51" i="8"/>
  <c r="D51" i="8"/>
  <c r="B52" i="8"/>
  <c r="D52" i="8"/>
  <c r="B53" i="8"/>
  <c r="D53" i="8"/>
  <c r="B54" i="8"/>
  <c r="D54" i="8"/>
  <c r="B55" i="8"/>
  <c r="D55" i="8"/>
  <c r="B56" i="8"/>
  <c r="D56" i="8"/>
  <c r="B57" i="8"/>
  <c r="D57" i="8"/>
  <c r="B58" i="8"/>
  <c r="D58" i="8"/>
  <c r="B59" i="8"/>
  <c r="D59" i="8"/>
  <c r="B60" i="8"/>
  <c r="D60" i="8"/>
  <c r="B62" i="8"/>
  <c r="D62" i="8"/>
  <c r="B63" i="8"/>
  <c r="D63" i="8"/>
  <c r="B64" i="8"/>
  <c r="D64" i="8"/>
  <c r="B65" i="8"/>
  <c r="D65" i="8"/>
  <c r="B66" i="8"/>
  <c r="D66" i="8"/>
  <c r="B67" i="8"/>
  <c r="D67" i="8"/>
  <c r="B68" i="8"/>
  <c r="D68" i="8"/>
  <c r="B70" i="8"/>
  <c r="D70" i="8"/>
  <c r="B71" i="8"/>
  <c r="D71" i="8"/>
  <c r="B72" i="8"/>
  <c r="D72" i="8"/>
  <c r="B74" i="8"/>
  <c r="D74" i="8"/>
  <c r="B76" i="8"/>
  <c r="D76" i="8"/>
  <c r="D78" i="8"/>
  <c r="B80" i="8"/>
  <c r="D80" i="8"/>
  <c r="B82" i="8"/>
  <c r="D82" i="8"/>
  <c r="B84" i="8"/>
  <c r="D84" i="8"/>
  <c r="B86" i="8"/>
  <c r="D86" i="8"/>
  <c r="B88" i="8"/>
  <c r="D88" i="8"/>
  <c r="B90" i="8"/>
  <c r="D90" i="8"/>
  <c r="B91" i="8"/>
  <c r="D91" i="8"/>
  <c r="B92" i="8"/>
  <c r="D92" i="8"/>
  <c r="B93" i="8"/>
  <c r="D93" i="8"/>
  <c r="B94" i="8"/>
  <c r="D94" i="8"/>
  <c r="B95" i="8"/>
  <c r="D95" i="8"/>
  <c r="B96" i="8"/>
  <c r="D96" i="8"/>
  <c r="B97" i="8"/>
  <c r="D97" i="8"/>
  <c r="B98" i="8"/>
  <c r="D98" i="8"/>
  <c r="B99" i="8"/>
  <c r="D99" i="8"/>
  <c r="B100" i="8"/>
  <c r="D100" i="8"/>
  <c r="B101" i="8"/>
  <c r="D101" i="8"/>
  <c r="B102" i="8"/>
  <c r="D102" i="8"/>
  <c r="B103" i="8"/>
  <c r="D103" i="8"/>
  <c r="B104" i="8"/>
  <c r="D104" i="8"/>
  <c r="B105" i="8"/>
  <c r="D105" i="8"/>
  <c r="B106" i="8"/>
  <c r="D106" i="8"/>
  <c r="B107" i="8"/>
  <c r="D107" i="8"/>
  <c r="B108" i="8"/>
  <c r="D108" i="8"/>
  <c r="B109" i="8"/>
  <c r="D109" i="8"/>
  <c r="B110" i="8"/>
  <c r="D110" i="8"/>
  <c r="B111" i="8"/>
  <c r="D111" i="8"/>
  <c r="B112" i="8"/>
  <c r="D112" i="8"/>
  <c r="B113" i="8"/>
  <c r="D113" i="8"/>
  <c r="B114" i="8"/>
  <c r="D114" i="8"/>
  <c r="B115" i="8"/>
  <c r="D115" i="8"/>
  <c r="B116" i="8"/>
  <c r="D116" i="8"/>
  <c r="B117" i="8"/>
  <c r="D117" i="8"/>
  <c r="B118" i="8"/>
  <c r="D118" i="8"/>
  <c r="B119" i="8"/>
  <c r="D119" i="8"/>
  <c r="B120" i="8"/>
  <c r="D120" i="8"/>
  <c r="B121" i="8"/>
  <c r="D121" i="8"/>
  <c r="B122" i="8"/>
  <c r="D122" i="8"/>
  <c r="B123" i="8"/>
  <c r="D123" i="8"/>
  <c r="B124" i="8"/>
  <c r="D124" i="8"/>
  <c r="B125" i="8"/>
  <c r="D125" i="8"/>
  <c r="B126" i="8"/>
  <c r="D126" i="8"/>
  <c r="B127" i="8"/>
  <c r="D127" i="8"/>
  <c r="B128" i="8"/>
  <c r="D128" i="8"/>
  <c r="B129" i="8"/>
  <c r="D129" i="8"/>
  <c r="B130" i="8"/>
  <c r="D130" i="8"/>
  <c r="D35" i="8"/>
  <c r="B35" i="8"/>
  <c r="J135" i="5" l="1"/>
  <c r="L135" i="5" s="1"/>
  <c r="J136" i="5"/>
  <c r="L136" i="5" s="1"/>
  <c r="M136" i="5" s="1"/>
  <c r="Q104" i="2"/>
  <c r="R104" i="2" l="1"/>
  <c r="AH104" i="2" s="1"/>
  <c r="G137" i="5" s="1"/>
  <c r="H137" i="5" s="1"/>
  <c r="N137" i="5" s="1"/>
  <c r="S104" i="2"/>
  <c r="T104" i="2"/>
  <c r="R103" i="2"/>
  <c r="AH103" i="2" s="1"/>
  <c r="G136" i="5" s="1"/>
  <c r="H136" i="5" s="1"/>
  <c r="N136" i="5" s="1"/>
  <c r="S103" i="2"/>
  <c r="T103" i="2"/>
  <c r="F104" i="2"/>
  <c r="J137" i="5" s="1"/>
  <c r="L137" i="5" s="1"/>
  <c r="M137" i="5" s="1"/>
  <c r="O137" i="5" l="1"/>
  <c r="AI104" i="2"/>
  <c r="C137" i="5" s="1"/>
  <c r="AJ104" i="2"/>
  <c r="AI103" i="2"/>
  <c r="C136" i="5" s="1"/>
  <c r="AJ103" i="2"/>
  <c r="J39" i="5" l="1"/>
  <c r="L39" i="5" s="1"/>
  <c r="J40" i="5"/>
  <c r="L40" i="5" s="1"/>
  <c r="J41" i="5"/>
  <c r="L41" i="5" s="1"/>
  <c r="J42" i="5"/>
  <c r="L42" i="5" s="1"/>
  <c r="J43" i="5"/>
  <c r="L43" i="5" s="1"/>
  <c r="J44" i="5"/>
  <c r="L44" i="5" s="1"/>
  <c r="J45" i="5"/>
  <c r="L45" i="5" s="1"/>
  <c r="M45" i="5" s="1"/>
  <c r="J46" i="5"/>
  <c r="L46" i="5" s="1"/>
  <c r="M46" i="5" s="1"/>
  <c r="J47" i="5"/>
  <c r="L47" i="5" s="1"/>
  <c r="J48" i="5"/>
  <c r="L48" i="5" s="1"/>
  <c r="J49" i="5"/>
  <c r="L49" i="5" s="1"/>
  <c r="M49" i="5" s="1"/>
  <c r="J50" i="5"/>
  <c r="L50" i="5" s="1"/>
  <c r="M50" i="5" s="1"/>
  <c r="J51" i="5"/>
  <c r="L51" i="5" s="1"/>
  <c r="J52" i="5"/>
  <c r="L52" i="5" s="1"/>
  <c r="J53" i="5"/>
  <c r="L53" i="5" s="1"/>
  <c r="M53" i="5" s="1"/>
  <c r="J54" i="5"/>
  <c r="L54" i="5" s="1"/>
  <c r="M54" i="5" s="1"/>
  <c r="J55" i="5"/>
  <c r="L55" i="5" s="1"/>
  <c r="J56" i="5"/>
  <c r="L56" i="5" s="1"/>
  <c r="J57" i="5"/>
  <c r="L57" i="5" s="1"/>
  <c r="M57" i="5" s="1"/>
  <c r="J58" i="5"/>
  <c r="L58" i="5" s="1"/>
  <c r="M58" i="5" s="1"/>
  <c r="J59" i="5"/>
  <c r="L59" i="5" s="1"/>
  <c r="M59" i="5" s="1"/>
  <c r="J60" i="5"/>
  <c r="L60" i="5" s="1"/>
  <c r="M60" i="5" s="1"/>
  <c r="J61" i="5"/>
  <c r="L61" i="5" s="1"/>
  <c r="M61" i="5" s="1"/>
  <c r="J62" i="5"/>
  <c r="L62" i="5" s="1"/>
  <c r="M62" i="5" s="1"/>
  <c r="J63" i="5"/>
  <c r="L63" i="5" s="1"/>
  <c r="M63" i="5" s="1"/>
  <c r="J64" i="5"/>
  <c r="L64" i="5" s="1"/>
  <c r="J65" i="5"/>
  <c r="L65" i="5" s="1"/>
  <c r="J66" i="5"/>
  <c r="L66" i="5" s="1"/>
  <c r="M66" i="5" s="1"/>
  <c r="J67" i="5"/>
  <c r="L67" i="5" s="1"/>
  <c r="M67" i="5" s="1"/>
  <c r="J68" i="5"/>
  <c r="L68" i="5" s="1"/>
  <c r="M68" i="5" s="1"/>
  <c r="J69" i="5"/>
  <c r="L69" i="5" s="1"/>
  <c r="M69" i="5" s="1"/>
  <c r="J70" i="5"/>
  <c r="L70" i="5" s="1"/>
  <c r="M70" i="5" s="1"/>
  <c r="J71" i="5"/>
  <c r="L71" i="5" s="1"/>
  <c r="M71" i="5" s="1"/>
  <c r="J72" i="5"/>
  <c r="L72" i="5" s="1"/>
  <c r="J73" i="5"/>
  <c r="L73" i="5" s="1"/>
  <c r="J74" i="5"/>
  <c r="L74" i="5" s="1"/>
  <c r="M74" i="5" s="1"/>
  <c r="J75" i="5"/>
  <c r="L75" i="5" s="1"/>
  <c r="M75" i="5" s="1"/>
  <c r="J76" i="5"/>
  <c r="L76" i="5" s="1"/>
  <c r="J77" i="5"/>
  <c r="L77" i="5" s="1"/>
  <c r="M77" i="5" s="1"/>
  <c r="J78" i="5"/>
  <c r="L78" i="5" s="1"/>
  <c r="J79" i="5"/>
  <c r="L79" i="5" s="1"/>
  <c r="M79" i="5" s="1"/>
  <c r="J80" i="5"/>
  <c r="L80" i="5" s="1"/>
  <c r="J81" i="5"/>
  <c r="J82" i="5"/>
  <c r="L82" i="5" s="1"/>
  <c r="J83" i="5"/>
  <c r="L83" i="5" s="1"/>
  <c r="J84" i="5"/>
  <c r="L84" i="5" s="1"/>
  <c r="J86" i="5"/>
  <c r="L86" i="5" s="1"/>
  <c r="J87" i="5"/>
  <c r="L87" i="5" s="1"/>
  <c r="M87" i="5" s="1"/>
  <c r="J88" i="5"/>
  <c r="L88" i="5" s="1"/>
  <c r="J89" i="5"/>
  <c r="L89" i="5" s="1"/>
  <c r="J90" i="5"/>
  <c r="L90" i="5" s="1"/>
  <c r="J91" i="5"/>
  <c r="L91" i="5" s="1"/>
  <c r="M91" i="5" s="1"/>
  <c r="J92" i="5"/>
  <c r="L92" i="5" s="1"/>
  <c r="J93" i="5"/>
  <c r="L93" i="5" s="1"/>
  <c r="M93" i="5" s="1"/>
  <c r="J94" i="5"/>
  <c r="L94" i="5" s="1"/>
  <c r="M94" i="5" s="1"/>
  <c r="J95" i="5"/>
  <c r="L95" i="5" s="1"/>
  <c r="M95" i="5" s="1"/>
  <c r="J96" i="5"/>
  <c r="L96" i="5" s="1"/>
  <c r="M96" i="5" s="1"/>
  <c r="J97" i="5"/>
  <c r="L97" i="5" s="1"/>
  <c r="J98" i="5"/>
  <c r="L98" i="5" s="1"/>
  <c r="M98" i="5" s="1"/>
  <c r="J99" i="5"/>
  <c r="L99" i="5" s="1"/>
  <c r="M99" i="5" s="1"/>
  <c r="J100" i="5"/>
  <c r="L100" i="5" s="1"/>
  <c r="M100" i="5" s="1"/>
  <c r="J101" i="5"/>
  <c r="L101" i="5" s="1"/>
  <c r="M101" i="5" s="1"/>
  <c r="J102" i="5"/>
  <c r="L102" i="5" s="1"/>
  <c r="M102" i="5" s="1"/>
  <c r="J103" i="5"/>
  <c r="L103" i="5" s="1"/>
  <c r="M103" i="5" s="1"/>
  <c r="J104" i="5"/>
  <c r="L104" i="5" s="1"/>
  <c r="M104" i="5" s="1"/>
  <c r="J105" i="5"/>
  <c r="L105" i="5" s="1"/>
  <c r="J106" i="5"/>
  <c r="L106" i="5" s="1"/>
  <c r="M106" i="5" s="1"/>
  <c r="J107" i="5"/>
  <c r="L107" i="5" s="1"/>
  <c r="M107" i="5" s="1"/>
  <c r="J108" i="5"/>
  <c r="L108" i="5" s="1"/>
  <c r="M108" i="5" s="1"/>
  <c r="J109" i="5"/>
  <c r="L109" i="5" s="1"/>
  <c r="M109" i="5" s="1"/>
  <c r="J110" i="5"/>
  <c r="L110" i="5" s="1"/>
  <c r="M110" i="5" s="1"/>
  <c r="J111" i="5"/>
  <c r="L111" i="5" s="1"/>
  <c r="M111" i="5" s="1"/>
  <c r="J112" i="5"/>
  <c r="L112" i="5" s="1"/>
  <c r="M112" i="5" s="1"/>
  <c r="J113" i="5"/>
  <c r="L113" i="5" s="1"/>
  <c r="J114" i="5"/>
  <c r="L114" i="5" s="1"/>
  <c r="M114" i="5" s="1"/>
  <c r="J115" i="5"/>
  <c r="L115" i="5" s="1"/>
  <c r="M115" i="5" s="1"/>
  <c r="J116" i="5"/>
  <c r="L116" i="5" s="1"/>
  <c r="M116" i="5" s="1"/>
  <c r="J117" i="5"/>
  <c r="L117" i="5" s="1"/>
  <c r="M117" i="5" s="1"/>
  <c r="J118" i="5"/>
  <c r="L118" i="5" s="1"/>
  <c r="M118" i="5" s="1"/>
  <c r="J119" i="5"/>
  <c r="L119" i="5" s="1"/>
  <c r="M119" i="5" s="1"/>
  <c r="J120" i="5"/>
  <c r="L120" i="5" s="1"/>
  <c r="M120" i="5" s="1"/>
  <c r="J121" i="5"/>
  <c r="L121" i="5" s="1"/>
  <c r="J122" i="5"/>
  <c r="L122" i="5" s="1"/>
  <c r="M122" i="5" s="1"/>
  <c r="J123" i="5"/>
  <c r="L123" i="5" s="1"/>
  <c r="M123" i="5" s="1"/>
  <c r="J124" i="5"/>
  <c r="L124" i="5" s="1"/>
  <c r="M124" i="5" s="1"/>
  <c r="J125" i="5"/>
  <c r="L125" i="5" s="1"/>
  <c r="M125" i="5" s="1"/>
  <c r="J126" i="5"/>
  <c r="L126" i="5" s="1"/>
  <c r="M126" i="5" s="1"/>
  <c r="J127" i="5"/>
  <c r="L127" i="5" s="1"/>
  <c r="M127" i="5" s="1"/>
  <c r="J128" i="5"/>
  <c r="L128" i="5" s="1"/>
  <c r="M128" i="5" s="1"/>
  <c r="J129" i="5"/>
  <c r="L129" i="5" s="1"/>
  <c r="J130" i="5"/>
  <c r="L130" i="5" s="1"/>
  <c r="M130" i="5" s="1"/>
  <c r="J131" i="5"/>
  <c r="L131" i="5" s="1"/>
  <c r="M131" i="5" s="1"/>
  <c r="J132" i="5"/>
  <c r="L132" i="5" s="1"/>
  <c r="M132" i="5" s="1"/>
  <c r="J133" i="5"/>
  <c r="L133" i="5" s="1"/>
  <c r="M133" i="5" s="1"/>
  <c r="J134" i="5"/>
  <c r="L134" i="5" s="1"/>
  <c r="J38" i="5"/>
  <c r="M55" i="5" l="1"/>
  <c r="M48" i="5"/>
  <c r="M47" i="5"/>
  <c r="L38" i="5"/>
  <c r="M83" i="5"/>
  <c r="M85" i="5"/>
  <c r="M52" i="5"/>
  <c r="M51" i="5"/>
  <c r="M134" i="5"/>
  <c r="M135" i="5"/>
  <c r="M44" i="5"/>
  <c r="L81" i="5"/>
  <c r="M81" i="5" s="1"/>
  <c r="M73" i="5"/>
  <c r="M65" i="5"/>
  <c r="M129" i="5"/>
  <c r="M121" i="5"/>
  <c r="M113" i="5"/>
  <c r="M105" i="5"/>
  <c r="M97" i="5"/>
  <c r="M89" i="5"/>
  <c r="M56" i="5"/>
  <c r="AY56" i="2"/>
  <c r="E45" i="7" s="1"/>
  <c r="AY66" i="2"/>
  <c r="E55" i="7" s="1"/>
  <c r="AZ73" i="2"/>
  <c r="AZ89" i="2"/>
  <c r="AX102" i="2"/>
  <c r="C91" i="7" s="1"/>
  <c r="AX103" i="2"/>
  <c r="C92" i="7" s="1"/>
  <c r="AZ102" i="2"/>
  <c r="AY102" i="2"/>
  <c r="E91" i="7" s="1"/>
  <c r="AX101" i="2"/>
  <c r="C90" i="7" s="1"/>
  <c r="AZ100" i="2"/>
  <c r="AY100" i="2"/>
  <c r="E89" i="7" s="1"/>
  <c r="AX100" i="2"/>
  <c r="C89" i="7" s="1"/>
  <c r="AZ99" i="2"/>
  <c r="AZ98" i="2"/>
  <c r="AX97" i="2"/>
  <c r="C86" i="7" s="1"/>
  <c r="AZ96" i="2"/>
  <c r="AY96" i="2"/>
  <c r="E85" i="7" s="1"/>
  <c r="AX96" i="2"/>
  <c r="C85" i="7" s="1"/>
  <c r="AX95" i="2"/>
  <c r="C84" i="7" s="1"/>
  <c r="AZ94" i="2"/>
  <c r="AY94" i="2"/>
  <c r="E83" i="7" s="1"/>
  <c r="AX94" i="2"/>
  <c r="C83" i="7" s="1"/>
  <c r="AY93" i="2"/>
  <c r="E82" i="7" s="1"/>
  <c r="AX93" i="2"/>
  <c r="C82" i="7" s="1"/>
  <c r="AZ92" i="2"/>
  <c r="AY92" i="2"/>
  <c r="E81" i="7" s="1"/>
  <c r="AX92" i="2"/>
  <c r="C81" i="7" s="1"/>
  <c r="AZ91" i="2"/>
  <c r="AZ90" i="2"/>
  <c r="AX89" i="2"/>
  <c r="C78" i="7" s="1"/>
  <c r="AZ88" i="2"/>
  <c r="AY88" i="2"/>
  <c r="E77" i="7" s="1"/>
  <c r="AX88" i="2"/>
  <c r="C77" i="7" s="1"/>
  <c r="AX87" i="2"/>
  <c r="C76" i="7" s="1"/>
  <c r="AZ86" i="2"/>
  <c r="AY86" i="2"/>
  <c r="E75" i="7" s="1"/>
  <c r="AX86" i="2"/>
  <c r="C75" i="7" s="1"/>
  <c r="AY85" i="2"/>
  <c r="E74" i="7" s="1"/>
  <c r="AX85" i="2"/>
  <c r="C74" i="7" s="1"/>
  <c r="AZ84" i="2"/>
  <c r="AY84" i="2"/>
  <c r="E73" i="7" s="1"/>
  <c r="AX84" i="2"/>
  <c r="C73" i="7" s="1"/>
  <c r="AZ83" i="2"/>
  <c r="AZ82" i="2"/>
  <c r="AX81" i="2"/>
  <c r="C70" i="7" s="1"/>
  <c r="AZ80" i="2"/>
  <c r="AY80" i="2"/>
  <c r="E69" i="7" s="1"/>
  <c r="AX80" i="2"/>
  <c r="C69" i="7" s="1"/>
  <c r="AX79" i="2"/>
  <c r="C68" i="7" s="1"/>
  <c r="AZ78" i="2"/>
  <c r="AY78" i="2"/>
  <c r="E67" i="7" s="1"/>
  <c r="AX78" i="2"/>
  <c r="C67" i="7" s="1"/>
  <c r="AY77" i="2"/>
  <c r="E66" i="7" s="1"/>
  <c r="AX77" i="2"/>
  <c r="C66" i="7" s="1"/>
  <c r="AZ76" i="2"/>
  <c r="AY76" i="2"/>
  <c r="E65" i="7" s="1"/>
  <c r="AX76" i="2"/>
  <c r="C65" i="7" s="1"/>
  <c r="AZ75" i="2"/>
  <c r="AZ74" i="2"/>
  <c r="AX73" i="2"/>
  <c r="C62" i="7" s="1"/>
  <c r="AZ72" i="2"/>
  <c r="AY72" i="2"/>
  <c r="E61" i="7" s="1"/>
  <c r="AX72" i="2"/>
  <c r="C61" i="7" s="1"/>
  <c r="AX71" i="2"/>
  <c r="C60" i="7" s="1"/>
  <c r="AZ70" i="2"/>
  <c r="AY70" i="2"/>
  <c r="E59" i="7" s="1"/>
  <c r="AX70" i="2"/>
  <c r="C59" i="7" s="1"/>
  <c r="AY69" i="2"/>
  <c r="E58" i="7" s="1"/>
  <c r="AX69" i="2"/>
  <c r="C58" i="7" s="1"/>
  <c r="AZ68" i="2"/>
  <c r="AY68" i="2"/>
  <c r="E57" i="7" s="1"/>
  <c r="AX68" i="2"/>
  <c r="C57" i="7" s="1"/>
  <c r="AZ67" i="2"/>
  <c r="AY67" i="2"/>
  <c r="E56" i="7" s="1"/>
  <c r="AX67" i="2"/>
  <c r="C56" i="7" s="1"/>
  <c r="AZ66" i="2"/>
  <c r="AX66" i="2"/>
  <c r="C55" i="7" s="1"/>
  <c r="AZ65" i="2"/>
  <c r="AY65" i="2"/>
  <c r="E54" i="7" s="1"/>
  <c r="AX65" i="2"/>
  <c r="C54" i="7" s="1"/>
  <c r="AZ64" i="2"/>
  <c r="AY64" i="2"/>
  <c r="E53" i="7" s="1"/>
  <c r="AX64" i="2"/>
  <c r="C53" i="7" s="1"/>
  <c r="AZ63" i="2"/>
  <c r="AY63" i="2"/>
  <c r="E52" i="7" s="1"/>
  <c r="AX63" i="2"/>
  <c r="C52" i="7" s="1"/>
  <c r="AZ62" i="2"/>
  <c r="AY62" i="2"/>
  <c r="E51" i="7" s="1"/>
  <c r="AX62" i="2"/>
  <c r="C51" i="7" s="1"/>
  <c r="AZ61" i="2"/>
  <c r="AY61" i="2"/>
  <c r="E50" i="7" s="1"/>
  <c r="AX61" i="2"/>
  <c r="C50" i="7" s="1"/>
  <c r="AZ60" i="2"/>
  <c r="AY60" i="2"/>
  <c r="E49" i="7" s="1"/>
  <c r="AX60" i="2"/>
  <c r="C49" i="7" s="1"/>
  <c r="AZ58" i="2"/>
  <c r="AY58" i="2"/>
  <c r="E47" i="7" s="1"/>
  <c r="AX58" i="2"/>
  <c r="C47" i="7" s="1"/>
  <c r="AZ56" i="2"/>
  <c r="AX56" i="2"/>
  <c r="C45" i="7" s="1"/>
  <c r="AZ54" i="2"/>
  <c r="AY54" i="2"/>
  <c r="AX54" i="2"/>
  <c r="AZ52" i="2"/>
  <c r="AY52" i="2"/>
  <c r="AX52" i="2"/>
  <c r="AZ50" i="2"/>
  <c r="AY50" i="2"/>
  <c r="AX50" i="2"/>
  <c r="AZ48" i="2"/>
  <c r="AY48" i="2"/>
  <c r="AX48" i="2"/>
  <c r="C39" i="7" l="1"/>
  <c r="E39" i="7"/>
  <c r="C37" i="7"/>
  <c r="E37" i="7"/>
  <c r="E43" i="7"/>
  <c r="C43" i="7"/>
  <c r="C41" i="7"/>
  <c r="E41" i="7"/>
  <c r="AX74" i="2"/>
  <c r="C63" i="7" s="1"/>
  <c r="AX82" i="2"/>
  <c r="C71" i="7" s="1"/>
  <c r="AX90" i="2"/>
  <c r="C79" i="7" s="1"/>
  <c r="AX98" i="2"/>
  <c r="C87" i="7" s="1"/>
  <c r="AY74" i="2"/>
  <c r="E63" i="7" s="1"/>
  <c r="AY82" i="2"/>
  <c r="E71" i="7" s="1"/>
  <c r="AY90" i="2"/>
  <c r="E79" i="7" s="1"/>
  <c r="AY98" i="2"/>
  <c r="E87" i="7" s="1"/>
  <c r="AX99" i="2"/>
  <c r="C88" i="7" s="1"/>
  <c r="AY71" i="2"/>
  <c r="E60" i="7" s="1"/>
  <c r="AY73" i="2"/>
  <c r="E62" i="7" s="1"/>
  <c r="AY75" i="2"/>
  <c r="E64" i="7" s="1"/>
  <c r="AY79" i="2"/>
  <c r="E68" i="7" s="1"/>
  <c r="AY81" i="2"/>
  <c r="E70" i="7" s="1"/>
  <c r="AY83" i="2"/>
  <c r="E72" i="7" s="1"/>
  <c r="AY87" i="2"/>
  <c r="E76" i="7" s="1"/>
  <c r="AY89" i="2"/>
  <c r="E78" i="7" s="1"/>
  <c r="AY91" i="2"/>
  <c r="E80" i="7" s="1"/>
  <c r="AY95" i="2"/>
  <c r="E84" i="7" s="1"/>
  <c r="AY97" i="2"/>
  <c r="E86" i="7" s="1"/>
  <c r="AY99" i="2"/>
  <c r="E88" i="7" s="1"/>
  <c r="AY101" i="2"/>
  <c r="E90" i="7" s="1"/>
  <c r="AZ103" i="2"/>
  <c r="AX83" i="2"/>
  <c r="C72" i="7" s="1"/>
  <c r="AY103" i="2"/>
  <c r="E92" i="7" s="1"/>
  <c r="AZ71" i="2"/>
  <c r="AZ77" i="2"/>
  <c r="AZ81" i="2"/>
  <c r="AZ85" i="2"/>
  <c r="AZ87" i="2"/>
  <c r="AZ93" i="2"/>
  <c r="AZ95" i="2"/>
  <c r="AZ97" i="2"/>
  <c r="AZ101" i="2"/>
  <c r="AX75" i="2"/>
  <c r="C64" i="7" s="1"/>
  <c r="AX91" i="2"/>
  <c r="C80" i="7" s="1"/>
  <c r="AZ69" i="2"/>
  <c r="AZ79" i="2"/>
  <c r="AP67" i="2"/>
  <c r="AQ67" i="2"/>
  <c r="AR67" i="2"/>
  <c r="AP68" i="2"/>
  <c r="AQ68" i="2"/>
  <c r="AR68" i="2"/>
  <c r="AP69" i="2"/>
  <c r="AQ69" i="2"/>
  <c r="AR69" i="2"/>
  <c r="AP50" i="2"/>
  <c r="AQ50" i="2"/>
  <c r="AP52" i="2"/>
  <c r="AR52" i="2"/>
  <c r="AP54" i="2"/>
  <c r="AQ54" i="2"/>
  <c r="AR54" i="2"/>
  <c r="AP56" i="2"/>
  <c r="AR56" i="2"/>
  <c r="AP58" i="2"/>
  <c r="AQ60" i="2"/>
  <c r="AR60" i="2"/>
  <c r="AQ61" i="2"/>
  <c r="AP62" i="2"/>
  <c r="AQ62" i="2"/>
  <c r="AR62" i="2"/>
  <c r="AP63" i="2"/>
  <c r="AQ63" i="2"/>
  <c r="AP64" i="2"/>
  <c r="AQ64" i="2"/>
  <c r="AR64" i="2"/>
  <c r="AP65" i="2"/>
  <c r="AQ65" i="2"/>
  <c r="AR65" i="2"/>
  <c r="AP66" i="2"/>
  <c r="AQ66" i="2"/>
  <c r="AR66" i="2"/>
  <c r="AP70" i="2"/>
  <c r="AQ71" i="2"/>
  <c r="AR71" i="2"/>
  <c r="AP72" i="2"/>
  <c r="AQ72" i="2"/>
  <c r="AP73" i="2"/>
  <c r="AQ73" i="2"/>
  <c r="AR73" i="2"/>
  <c r="AP74" i="2"/>
  <c r="AQ74" i="2"/>
  <c r="AP75" i="2"/>
  <c r="AQ75" i="2"/>
  <c r="AR75" i="2"/>
  <c r="AQ76" i="2"/>
  <c r="AR76" i="2"/>
  <c r="AP77" i="2"/>
  <c r="AQ77" i="2"/>
  <c r="AR77" i="2"/>
  <c r="AP78" i="2"/>
  <c r="AQ79" i="2"/>
  <c r="AR79" i="2"/>
  <c r="AP80" i="2"/>
  <c r="AQ80" i="2"/>
  <c r="AP81" i="2"/>
  <c r="AQ81" i="2"/>
  <c r="AR81" i="2"/>
  <c r="AP82" i="2"/>
  <c r="AQ82" i="2"/>
  <c r="AP83" i="2"/>
  <c r="AQ83" i="2"/>
  <c r="AR83" i="2"/>
  <c r="AP84" i="2"/>
  <c r="AQ84" i="2"/>
  <c r="AR84" i="2"/>
  <c r="AP85" i="2"/>
  <c r="AR85" i="2"/>
  <c r="AQ86" i="2"/>
  <c r="AQ87" i="2"/>
  <c r="AR87" i="2"/>
  <c r="AP88" i="2"/>
  <c r="AQ88" i="2"/>
  <c r="AP89" i="2"/>
  <c r="AR89" i="2"/>
  <c r="AP90" i="2"/>
  <c r="AQ90" i="2"/>
  <c r="AR90" i="2"/>
  <c r="AP91" i="2"/>
  <c r="AQ91" i="2"/>
  <c r="AR91" i="2"/>
  <c r="AP92" i="2"/>
  <c r="AQ92" i="2"/>
  <c r="AR92" i="2"/>
  <c r="AP93" i="2"/>
  <c r="AR93" i="2"/>
  <c r="AP94" i="2"/>
  <c r="AQ94" i="2"/>
  <c r="AR94" i="2"/>
  <c r="AP95" i="2"/>
  <c r="AQ95" i="2"/>
  <c r="AR95" i="2"/>
  <c r="AP96" i="2"/>
  <c r="AQ96" i="2"/>
  <c r="AP97" i="2"/>
  <c r="AQ97" i="2"/>
  <c r="AR97" i="2"/>
  <c r="AP98" i="2"/>
  <c r="AQ98" i="2"/>
  <c r="AR98" i="2"/>
  <c r="AP99" i="2"/>
  <c r="AQ99" i="2"/>
  <c r="AR99" i="2"/>
  <c r="AP100" i="2"/>
  <c r="AQ100" i="2"/>
  <c r="AR100" i="2"/>
  <c r="AP101" i="2"/>
  <c r="AR101" i="2"/>
  <c r="AP102" i="2"/>
  <c r="AQ102" i="2"/>
  <c r="AR102" i="2"/>
  <c r="AP103" i="2"/>
  <c r="AQ103" i="2"/>
  <c r="AR103" i="2"/>
  <c r="E84" i="6" l="1"/>
  <c r="C74" i="6"/>
  <c r="E43" i="6"/>
  <c r="C87" i="6"/>
  <c r="E92" i="6"/>
  <c r="E66" i="6"/>
  <c r="E53" i="6"/>
  <c r="C92" i="6"/>
  <c r="C89" i="6"/>
  <c r="E86" i="6"/>
  <c r="E83" i="6"/>
  <c r="E80" i="6"/>
  <c r="C77" i="6"/>
  <c r="C73" i="6"/>
  <c r="C70" i="6"/>
  <c r="C66" i="6"/>
  <c r="C53" i="6"/>
  <c r="E49" i="6"/>
  <c r="C41" i="6"/>
  <c r="C57" i="6"/>
  <c r="C54" i="6"/>
  <c r="C84" i="6"/>
  <c r="C78" i="6"/>
  <c r="E50" i="6"/>
  <c r="E73" i="6"/>
  <c r="C63" i="6"/>
  <c r="C83" i="6"/>
  <c r="E69" i="6"/>
  <c r="E62" i="6"/>
  <c r="C47" i="6"/>
  <c r="E91" i="6"/>
  <c r="E88" i="6"/>
  <c r="E85" i="6"/>
  <c r="E76" i="6"/>
  <c r="E72" i="6"/>
  <c r="C69" i="6"/>
  <c r="E65" i="6"/>
  <c r="C62" i="6"/>
  <c r="C55" i="6"/>
  <c r="C52" i="6"/>
  <c r="C39" i="6"/>
  <c r="E56" i="6"/>
  <c r="C90" i="6"/>
  <c r="C64" i="6"/>
  <c r="C58" i="6"/>
  <c r="C81" i="6"/>
  <c r="E60" i="6"/>
  <c r="E89" i="6"/>
  <c r="E70" i="6"/>
  <c r="E57" i="6"/>
  <c r="E55" i="6"/>
  <c r="C91" i="6"/>
  <c r="C88" i="6"/>
  <c r="C85" i="6"/>
  <c r="C82" i="6"/>
  <c r="E79" i="6"/>
  <c r="E75" i="6"/>
  <c r="C72" i="6"/>
  <c r="E61" i="6"/>
  <c r="C45" i="6"/>
  <c r="C56" i="6"/>
  <c r="E87" i="6"/>
  <c r="E81" i="6"/>
  <c r="C71" i="6"/>
  <c r="C67" i="6"/>
  <c r="C51" i="6"/>
  <c r="E63" i="6"/>
  <c r="C43" i="6"/>
  <c r="E77" i="6"/>
  <c r="C59" i="6"/>
  <c r="C86" i="6"/>
  <c r="C80" i="6"/>
  <c r="E52" i="6"/>
  <c r="E39" i="6"/>
  <c r="C79" i="6"/>
  <c r="E71" i="6"/>
  <c r="E68" i="6"/>
  <c r="E64" i="6"/>
  <c r="C61" i="6"/>
  <c r="E54" i="6"/>
  <c r="E51" i="6"/>
  <c r="E58" i="6"/>
  <c r="AQ78" i="2"/>
  <c r="AQ52" i="2"/>
  <c r="AQ58" i="2"/>
  <c r="AQ89" i="2"/>
  <c r="AP61" i="2"/>
  <c r="AP60" i="2"/>
  <c r="AR96" i="2"/>
  <c r="AP79" i="2"/>
  <c r="AR72" i="2"/>
  <c r="AR88" i="2"/>
  <c r="AR58" i="2"/>
  <c r="AR61" i="2"/>
  <c r="AQ70" i="2"/>
  <c r="AP76" i="2"/>
  <c r="AR80" i="2"/>
  <c r="AR70" i="2"/>
  <c r="AR86" i="2"/>
  <c r="AQ93" i="2"/>
  <c r="AQ101" i="2"/>
  <c r="AQ85" i="2"/>
  <c r="AP86" i="2"/>
  <c r="AQ56" i="2"/>
  <c r="AP71" i="2"/>
  <c r="AP87" i="2"/>
  <c r="AR78" i="2"/>
  <c r="AR50" i="2"/>
  <c r="AR63" i="2"/>
  <c r="AR74" i="2"/>
  <c r="AR82" i="2"/>
  <c r="AR48" i="2"/>
  <c r="AQ48" i="2"/>
  <c r="AP48" i="2"/>
  <c r="E67" i="6" l="1"/>
  <c r="C76" i="6"/>
  <c r="C68" i="6"/>
  <c r="E37" i="6"/>
  <c r="C60" i="6"/>
  <c r="C49" i="6"/>
  <c r="C75" i="6"/>
  <c r="E45" i="6"/>
  <c r="E59" i="6"/>
  <c r="E78" i="6"/>
  <c r="C37" i="6"/>
  <c r="E90" i="6"/>
  <c r="E47" i="6"/>
  <c r="C65" i="6"/>
  <c r="C50" i="6"/>
  <c r="E82" i="6"/>
  <c r="E41" i="6"/>
  <c r="AQ109" i="2"/>
  <c r="E74" i="6"/>
  <c r="AQ106" i="2"/>
  <c r="AR109" i="2"/>
  <c r="AR106" i="2"/>
  <c r="AP109" i="2"/>
  <c r="AP106" i="2"/>
  <c r="AE55" i="4"/>
  <c r="AF55" i="4"/>
  <c r="AG55" i="4"/>
  <c r="AH55" i="4"/>
  <c r="AI55" i="4"/>
  <c r="AJ55" i="4"/>
  <c r="AE56" i="4"/>
  <c r="AF56" i="4"/>
  <c r="AG56" i="4"/>
  <c r="BH50" i="2" s="1"/>
  <c r="AH56" i="4"/>
  <c r="AI56" i="4"/>
  <c r="BG50" i="2" s="1"/>
  <c r="AJ56" i="4"/>
  <c r="AE57" i="4"/>
  <c r="AF57" i="4"/>
  <c r="AG57" i="4"/>
  <c r="AH57" i="4"/>
  <c r="AI57" i="4"/>
  <c r="AJ57" i="4"/>
  <c r="AE58" i="4"/>
  <c r="AF58" i="4"/>
  <c r="AG58" i="4"/>
  <c r="BH52" i="2" s="1"/>
  <c r="AH58" i="4"/>
  <c r="AI58" i="4"/>
  <c r="BG52" i="2" s="1"/>
  <c r="AJ58" i="4"/>
  <c r="AE59" i="4"/>
  <c r="AF59" i="4"/>
  <c r="AG59" i="4"/>
  <c r="AH59" i="4"/>
  <c r="AI59" i="4"/>
  <c r="AJ59" i="4"/>
  <c r="AE60" i="4"/>
  <c r="AF60" i="4"/>
  <c r="AG60" i="4"/>
  <c r="BH54" i="2" s="1"/>
  <c r="AH60" i="4"/>
  <c r="AI60" i="4"/>
  <c r="BG54" i="2" s="1"/>
  <c r="AJ60" i="4"/>
  <c r="AE61" i="4"/>
  <c r="AF61" i="4"/>
  <c r="AG61" i="4"/>
  <c r="AH61" i="4"/>
  <c r="AI61" i="4"/>
  <c r="AJ61" i="4"/>
  <c r="AE62" i="4"/>
  <c r="AF62" i="4"/>
  <c r="AG62" i="4"/>
  <c r="BH56" i="2" s="1"/>
  <c r="AH62" i="4"/>
  <c r="AI62" i="4"/>
  <c r="BG56" i="2" s="1"/>
  <c r="AJ62" i="4"/>
  <c r="AE63" i="4"/>
  <c r="AF63" i="4"/>
  <c r="AG63" i="4"/>
  <c r="AH63" i="4"/>
  <c r="AI63" i="4"/>
  <c r="AJ63" i="4"/>
  <c r="AE64" i="4"/>
  <c r="AF64" i="4"/>
  <c r="AG64" i="4"/>
  <c r="BH58" i="2" s="1"/>
  <c r="AH64" i="4"/>
  <c r="AI64" i="4"/>
  <c r="BG58" i="2" s="1"/>
  <c r="AJ64" i="4"/>
  <c r="AE65" i="4"/>
  <c r="AF65" i="4"/>
  <c r="AG65" i="4"/>
  <c r="AH65" i="4"/>
  <c r="AI65" i="4"/>
  <c r="AJ65" i="4"/>
  <c r="AE66" i="4"/>
  <c r="AF66" i="4"/>
  <c r="AG66" i="4"/>
  <c r="BH60" i="2" s="1"/>
  <c r="AH66" i="4"/>
  <c r="AI66" i="4"/>
  <c r="BG60" i="2" s="1"/>
  <c r="AJ66" i="4"/>
  <c r="AE67" i="4"/>
  <c r="AF67" i="4"/>
  <c r="AG67" i="4"/>
  <c r="BH61" i="2" s="1"/>
  <c r="AH67" i="4"/>
  <c r="AI67" i="4"/>
  <c r="BG61" i="2" s="1"/>
  <c r="AJ67" i="4"/>
  <c r="AE68" i="4"/>
  <c r="AF68" i="4"/>
  <c r="AG68" i="4"/>
  <c r="BH62" i="2" s="1"/>
  <c r="AH68" i="4"/>
  <c r="AI68" i="4"/>
  <c r="BG62" i="2" s="1"/>
  <c r="AJ68" i="4"/>
  <c r="AE69" i="4"/>
  <c r="AF69" i="4"/>
  <c r="AG69" i="4"/>
  <c r="BH63" i="2" s="1"/>
  <c r="AH69" i="4"/>
  <c r="AI69" i="4"/>
  <c r="BG63" i="2" s="1"/>
  <c r="AJ69" i="4"/>
  <c r="AE70" i="4"/>
  <c r="AF70" i="4"/>
  <c r="AG70" i="4"/>
  <c r="BH64" i="2" s="1"/>
  <c r="AH70" i="4"/>
  <c r="AI70" i="4"/>
  <c r="BG64" i="2" s="1"/>
  <c r="AJ70" i="4"/>
  <c r="AE71" i="4"/>
  <c r="AF71" i="4"/>
  <c r="AG71" i="4"/>
  <c r="BH65" i="2" s="1"/>
  <c r="AH71" i="4"/>
  <c r="AI71" i="4"/>
  <c r="BG65" i="2" s="1"/>
  <c r="AJ71" i="4"/>
  <c r="AE72" i="4"/>
  <c r="AF72" i="4"/>
  <c r="AG72" i="4"/>
  <c r="BH66" i="2" s="1"/>
  <c r="AH72" i="4"/>
  <c r="AI72" i="4"/>
  <c r="BG66" i="2" s="1"/>
  <c r="AJ72" i="4"/>
  <c r="AE73" i="4"/>
  <c r="AF73" i="4"/>
  <c r="AG73" i="4"/>
  <c r="BH67" i="2" s="1"/>
  <c r="AH73" i="4"/>
  <c r="AI73" i="4"/>
  <c r="BG67" i="2" s="1"/>
  <c r="AJ73" i="4"/>
  <c r="AE74" i="4"/>
  <c r="AF74" i="4"/>
  <c r="AG74" i="4"/>
  <c r="BH68" i="2" s="1"/>
  <c r="AH74" i="4"/>
  <c r="AI74" i="4"/>
  <c r="BG68" i="2" s="1"/>
  <c r="AJ74" i="4"/>
  <c r="AE75" i="4"/>
  <c r="AF75" i="4"/>
  <c r="AG75" i="4"/>
  <c r="BH69" i="2" s="1"/>
  <c r="AH75" i="4"/>
  <c r="AI75" i="4"/>
  <c r="BG69" i="2" s="1"/>
  <c r="AJ75" i="4"/>
  <c r="AE76" i="4"/>
  <c r="AF76" i="4"/>
  <c r="AG76" i="4"/>
  <c r="BH70" i="2" s="1"/>
  <c r="AH76" i="4"/>
  <c r="AI76" i="4"/>
  <c r="BG70" i="2" s="1"/>
  <c r="AJ76" i="4"/>
  <c r="AE77" i="4"/>
  <c r="AF77" i="4"/>
  <c r="AG77" i="4"/>
  <c r="BH71" i="2" s="1"/>
  <c r="AH77" i="4"/>
  <c r="AI77" i="4"/>
  <c r="BG71" i="2" s="1"/>
  <c r="AJ77" i="4"/>
  <c r="AE78" i="4"/>
  <c r="AF78" i="4"/>
  <c r="AG78" i="4"/>
  <c r="BH72" i="2" s="1"/>
  <c r="AH78" i="4"/>
  <c r="AI78" i="4"/>
  <c r="BG72" i="2" s="1"/>
  <c r="AJ78" i="4"/>
  <c r="AE79" i="4"/>
  <c r="AF79" i="4"/>
  <c r="AG79" i="4"/>
  <c r="BH73" i="2" s="1"/>
  <c r="AH79" i="4"/>
  <c r="AI79" i="4"/>
  <c r="BG73" i="2" s="1"/>
  <c r="AJ79" i="4"/>
  <c r="AE80" i="4"/>
  <c r="AF80" i="4"/>
  <c r="AG80" i="4"/>
  <c r="BH74" i="2" s="1"/>
  <c r="AH80" i="4"/>
  <c r="AI80" i="4"/>
  <c r="BG74" i="2" s="1"/>
  <c r="AJ80" i="4"/>
  <c r="AE81" i="4"/>
  <c r="AF81" i="4"/>
  <c r="AG81" i="4"/>
  <c r="BH75" i="2" s="1"/>
  <c r="AH81" i="4"/>
  <c r="AI81" i="4"/>
  <c r="BG75" i="2" s="1"/>
  <c r="AJ81" i="4"/>
  <c r="AE82" i="4"/>
  <c r="AF82" i="4"/>
  <c r="AG82" i="4"/>
  <c r="BH76" i="2" s="1"/>
  <c r="AH82" i="4"/>
  <c r="AI82" i="4"/>
  <c r="BG76" i="2" s="1"/>
  <c r="AJ82" i="4"/>
  <c r="AE83" i="4"/>
  <c r="AF83" i="4"/>
  <c r="AG83" i="4"/>
  <c r="BH77" i="2" s="1"/>
  <c r="AH83" i="4"/>
  <c r="AI83" i="4"/>
  <c r="BG77" i="2" s="1"/>
  <c r="AJ83" i="4"/>
  <c r="AE84" i="4"/>
  <c r="AF84" i="4"/>
  <c r="AG84" i="4"/>
  <c r="BH78" i="2" s="1"/>
  <c r="AH84" i="4"/>
  <c r="AI84" i="4"/>
  <c r="BG78" i="2" s="1"/>
  <c r="AJ84" i="4"/>
  <c r="AE85" i="4"/>
  <c r="AF85" i="4"/>
  <c r="AG85" i="4"/>
  <c r="BH79" i="2" s="1"/>
  <c r="AH85" i="4"/>
  <c r="AI85" i="4"/>
  <c r="BG79" i="2" s="1"/>
  <c r="AJ85" i="4"/>
  <c r="AE86" i="4"/>
  <c r="AF86" i="4"/>
  <c r="AG86" i="4"/>
  <c r="BH80" i="2" s="1"/>
  <c r="AH86" i="4"/>
  <c r="AI86" i="4"/>
  <c r="BG80" i="2" s="1"/>
  <c r="AJ86" i="4"/>
  <c r="AE87" i="4"/>
  <c r="AF87" i="4"/>
  <c r="AG87" i="4"/>
  <c r="BH81" i="2" s="1"/>
  <c r="AH87" i="4"/>
  <c r="AI87" i="4"/>
  <c r="BG81" i="2" s="1"/>
  <c r="AJ87" i="4"/>
  <c r="AE88" i="4"/>
  <c r="AF88" i="4"/>
  <c r="AG88" i="4"/>
  <c r="BH82" i="2" s="1"/>
  <c r="AH88" i="4"/>
  <c r="AI88" i="4"/>
  <c r="BG82" i="2" s="1"/>
  <c r="AJ88" i="4"/>
  <c r="AE89" i="4"/>
  <c r="AF89" i="4"/>
  <c r="AG89" i="4"/>
  <c r="BH83" i="2" s="1"/>
  <c r="AH89" i="4"/>
  <c r="AI89" i="4"/>
  <c r="BG83" i="2" s="1"/>
  <c r="AJ89" i="4"/>
  <c r="AE90" i="4"/>
  <c r="AF90" i="4"/>
  <c r="AG90" i="4"/>
  <c r="BH84" i="2" s="1"/>
  <c r="AH90" i="4"/>
  <c r="AI90" i="4"/>
  <c r="BG84" i="2" s="1"/>
  <c r="AJ90" i="4"/>
  <c r="AE91" i="4"/>
  <c r="AF91" i="4"/>
  <c r="AG91" i="4"/>
  <c r="BH85" i="2" s="1"/>
  <c r="AH91" i="4"/>
  <c r="AI91" i="4"/>
  <c r="BG85" i="2" s="1"/>
  <c r="AJ91" i="4"/>
  <c r="AE92" i="4"/>
  <c r="AF92" i="4"/>
  <c r="AG92" i="4"/>
  <c r="BH86" i="2" s="1"/>
  <c r="AH92" i="4"/>
  <c r="AI92" i="4"/>
  <c r="BG86" i="2" s="1"/>
  <c r="AJ92" i="4"/>
  <c r="AE93" i="4"/>
  <c r="AF93" i="4"/>
  <c r="AG93" i="4"/>
  <c r="BH87" i="2" s="1"/>
  <c r="AH93" i="4"/>
  <c r="AI93" i="4"/>
  <c r="BG87" i="2" s="1"/>
  <c r="AJ93" i="4"/>
  <c r="AE94" i="4"/>
  <c r="AF94" i="4"/>
  <c r="AG94" i="4"/>
  <c r="BH88" i="2" s="1"/>
  <c r="AH94" i="4"/>
  <c r="AI94" i="4"/>
  <c r="BG88" i="2" s="1"/>
  <c r="AJ94" i="4"/>
  <c r="AE95" i="4"/>
  <c r="AF95" i="4"/>
  <c r="AG95" i="4"/>
  <c r="BH89" i="2" s="1"/>
  <c r="AH95" i="4"/>
  <c r="AI95" i="4"/>
  <c r="BG89" i="2" s="1"/>
  <c r="AJ95" i="4"/>
  <c r="AE96" i="4"/>
  <c r="AF96" i="4"/>
  <c r="AG96" i="4"/>
  <c r="BH90" i="2" s="1"/>
  <c r="AH96" i="4"/>
  <c r="AI96" i="4"/>
  <c r="BG90" i="2" s="1"/>
  <c r="AJ96" i="4"/>
  <c r="AE97" i="4"/>
  <c r="AF97" i="4"/>
  <c r="AG97" i="4"/>
  <c r="BH91" i="2" s="1"/>
  <c r="AH97" i="4"/>
  <c r="AI97" i="4"/>
  <c r="BG91" i="2" s="1"/>
  <c r="AJ97" i="4"/>
  <c r="AE98" i="4"/>
  <c r="AF98" i="4"/>
  <c r="AG98" i="4"/>
  <c r="BH92" i="2" s="1"/>
  <c r="AH98" i="4"/>
  <c r="AI98" i="4"/>
  <c r="BG92" i="2" s="1"/>
  <c r="AJ98" i="4"/>
  <c r="AE99" i="4"/>
  <c r="AF99" i="4"/>
  <c r="AG99" i="4"/>
  <c r="BH93" i="2" s="1"/>
  <c r="AH99" i="4"/>
  <c r="AI99" i="4"/>
  <c r="BG93" i="2" s="1"/>
  <c r="AJ99" i="4"/>
  <c r="AE100" i="4"/>
  <c r="AF100" i="4"/>
  <c r="AG100" i="4"/>
  <c r="BH94" i="2" s="1"/>
  <c r="AH100" i="4"/>
  <c r="AI100" i="4"/>
  <c r="BG94" i="2" s="1"/>
  <c r="AJ100" i="4"/>
  <c r="AE101" i="4"/>
  <c r="AF101" i="4"/>
  <c r="AG101" i="4"/>
  <c r="BH95" i="2" s="1"/>
  <c r="AH101" i="4"/>
  <c r="AI101" i="4"/>
  <c r="BG95" i="2" s="1"/>
  <c r="AJ101" i="4"/>
  <c r="AE102" i="4"/>
  <c r="AF102" i="4"/>
  <c r="AG102" i="4"/>
  <c r="BH96" i="2" s="1"/>
  <c r="AH102" i="4"/>
  <c r="AI102" i="4"/>
  <c r="BG96" i="2" s="1"/>
  <c r="AJ102" i="4"/>
  <c r="AE103" i="4"/>
  <c r="AF103" i="4"/>
  <c r="AG103" i="4"/>
  <c r="BH97" i="2" s="1"/>
  <c r="AH103" i="4"/>
  <c r="AI103" i="4"/>
  <c r="BG97" i="2" s="1"/>
  <c r="AJ103" i="4"/>
  <c r="AE104" i="4"/>
  <c r="AF104" i="4"/>
  <c r="AG104" i="4"/>
  <c r="BH98" i="2" s="1"/>
  <c r="AH104" i="4"/>
  <c r="AI104" i="4"/>
  <c r="BG98" i="2" s="1"/>
  <c r="AJ104" i="4"/>
  <c r="AE105" i="4"/>
  <c r="AF105" i="4"/>
  <c r="AG105" i="4"/>
  <c r="BH99" i="2" s="1"/>
  <c r="AH105" i="4"/>
  <c r="AI105" i="4"/>
  <c r="BG99" i="2" s="1"/>
  <c r="AJ105" i="4"/>
  <c r="AE106" i="4"/>
  <c r="AF106" i="4"/>
  <c r="AG106" i="4"/>
  <c r="BH100" i="2" s="1"/>
  <c r="AH106" i="4"/>
  <c r="AI106" i="4"/>
  <c r="BG100" i="2" s="1"/>
  <c r="AJ106" i="4"/>
  <c r="AE107" i="4"/>
  <c r="AF107" i="4"/>
  <c r="AG107" i="4"/>
  <c r="BH101" i="2" s="1"/>
  <c r="AH107" i="4"/>
  <c r="AI107" i="4"/>
  <c r="BG101" i="2" s="1"/>
  <c r="AJ107" i="4"/>
  <c r="AE108" i="4"/>
  <c r="AF108" i="4"/>
  <c r="AG108" i="4"/>
  <c r="BH102" i="2" s="1"/>
  <c r="AH108" i="4"/>
  <c r="AI108" i="4"/>
  <c r="BG102" i="2" s="1"/>
  <c r="AJ108" i="4"/>
  <c r="E112" i="8" l="1"/>
  <c r="E92" i="8"/>
  <c r="E104" i="8"/>
  <c r="E100" i="8"/>
  <c r="E88" i="8"/>
  <c r="E84" i="8"/>
  <c r="E117" i="8"/>
  <c r="E101" i="8"/>
  <c r="E97" i="8"/>
  <c r="E93" i="8"/>
  <c r="E96" i="8"/>
  <c r="E80" i="8"/>
  <c r="E109" i="8"/>
  <c r="E122" i="8"/>
  <c r="E102" i="8"/>
  <c r="E132" i="8"/>
  <c r="E120" i="8"/>
  <c r="E108" i="8"/>
  <c r="E129" i="8"/>
  <c r="E125" i="8"/>
  <c r="E118" i="8"/>
  <c r="E114" i="8"/>
  <c r="E110" i="8"/>
  <c r="E106" i="8"/>
  <c r="E94" i="8"/>
  <c r="E90" i="8"/>
  <c r="E86" i="8"/>
  <c r="E82" i="8"/>
  <c r="E128" i="8"/>
  <c r="E124" i="8"/>
  <c r="E116" i="8"/>
  <c r="E121" i="8"/>
  <c r="E113" i="8"/>
  <c r="E105" i="8"/>
  <c r="E130" i="8"/>
  <c r="E126" i="8"/>
  <c r="E98" i="8"/>
  <c r="E131" i="8"/>
  <c r="E127" i="8"/>
  <c r="E123" i="8"/>
  <c r="E119" i="8"/>
  <c r="E115" i="8"/>
  <c r="E111" i="8"/>
  <c r="E107" i="8"/>
  <c r="E103" i="8"/>
  <c r="E99" i="8"/>
  <c r="E95" i="8"/>
  <c r="E91" i="8"/>
  <c r="AQ112" i="2"/>
  <c r="AP112" i="2"/>
  <c r="AR112" i="2"/>
  <c r="BF98" i="2"/>
  <c r="BF94" i="2"/>
  <c r="BF82" i="2"/>
  <c r="BF74" i="2"/>
  <c r="BF70" i="2"/>
  <c r="BF66" i="2"/>
  <c r="BF62" i="2"/>
  <c r="BF50" i="2"/>
  <c r="BF99" i="2"/>
  <c r="BF95" i="2"/>
  <c r="BF91" i="2"/>
  <c r="BF87" i="2"/>
  <c r="BF79" i="2"/>
  <c r="BF71" i="2"/>
  <c r="BF76" i="2"/>
  <c r="BF90" i="2"/>
  <c r="BF75" i="2"/>
  <c r="BF88" i="2"/>
  <c r="BF84" i="2"/>
  <c r="BF80" i="2"/>
  <c r="BF72" i="2"/>
  <c r="BF68" i="2"/>
  <c r="BF64" i="2"/>
  <c r="BF60" i="2"/>
  <c r="BF56" i="2"/>
  <c r="BF52" i="2"/>
  <c r="BF101" i="2"/>
  <c r="BF97" i="2"/>
  <c r="BF93" i="2"/>
  <c r="BF89" i="2"/>
  <c r="BF85" i="2"/>
  <c r="BF81" i="2"/>
  <c r="BF77" i="2"/>
  <c r="BF73" i="2"/>
  <c r="BF69" i="2"/>
  <c r="BF65" i="2"/>
  <c r="BF61" i="2"/>
  <c r="BF102" i="2"/>
  <c r="BF86" i="2"/>
  <c r="BF78" i="2"/>
  <c r="BF58" i="2"/>
  <c r="BF54" i="2"/>
  <c r="BF83" i="2"/>
  <c r="BF67" i="2"/>
  <c r="BF63" i="2"/>
  <c r="BF100" i="2"/>
  <c r="BF96" i="2"/>
  <c r="BF92" i="2"/>
  <c r="AE7" i="4"/>
  <c r="AF7" i="4"/>
  <c r="AG7" i="4"/>
  <c r="AH7" i="4"/>
  <c r="AI7" i="4"/>
  <c r="AJ7" i="4"/>
  <c r="AE8" i="4"/>
  <c r="AF8" i="4"/>
  <c r="AG8" i="4"/>
  <c r="AH8" i="4"/>
  <c r="AI8" i="4"/>
  <c r="AJ8" i="4"/>
  <c r="AE9" i="4"/>
  <c r="AF9" i="4"/>
  <c r="AG9" i="4"/>
  <c r="AH9" i="4"/>
  <c r="AI9" i="4"/>
  <c r="AJ9" i="4"/>
  <c r="AE10" i="4"/>
  <c r="AF10" i="4"/>
  <c r="AG10" i="4"/>
  <c r="AH10" i="4"/>
  <c r="AI10" i="4"/>
  <c r="AJ10" i="4"/>
  <c r="AE11" i="4"/>
  <c r="AF11" i="4"/>
  <c r="AG11" i="4"/>
  <c r="AH11" i="4"/>
  <c r="AI11" i="4"/>
  <c r="AJ11" i="4"/>
  <c r="AE12" i="4"/>
  <c r="AF12" i="4"/>
  <c r="AG12" i="4"/>
  <c r="AH12" i="4"/>
  <c r="AI12" i="4"/>
  <c r="AJ12" i="4"/>
  <c r="AE13" i="4"/>
  <c r="AF13" i="4"/>
  <c r="AG13" i="4"/>
  <c r="AH13" i="4"/>
  <c r="AI13" i="4"/>
  <c r="AJ13" i="4"/>
  <c r="AE14" i="4"/>
  <c r="AF14" i="4"/>
  <c r="AG14" i="4"/>
  <c r="AH14" i="4"/>
  <c r="AI14" i="4"/>
  <c r="AJ14" i="4"/>
  <c r="AE15" i="4"/>
  <c r="AF15" i="4"/>
  <c r="AG15" i="4"/>
  <c r="AH15" i="4"/>
  <c r="AI15" i="4"/>
  <c r="AJ15" i="4"/>
  <c r="AE16" i="4"/>
  <c r="AF16" i="4"/>
  <c r="AG16" i="4"/>
  <c r="AH16" i="4"/>
  <c r="AI16" i="4"/>
  <c r="AJ16" i="4"/>
  <c r="AE17" i="4"/>
  <c r="AF17" i="4"/>
  <c r="AG17" i="4"/>
  <c r="AH17" i="4"/>
  <c r="AI17" i="4"/>
  <c r="AJ17" i="4"/>
  <c r="AE18" i="4"/>
  <c r="AF18" i="4"/>
  <c r="AG18" i="4"/>
  <c r="AH18" i="4"/>
  <c r="AI18" i="4"/>
  <c r="AJ18" i="4"/>
  <c r="AE19" i="4"/>
  <c r="AF19" i="4"/>
  <c r="AG19" i="4"/>
  <c r="AH19" i="4"/>
  <c r="AI19" i="4"/>
  <c r="AJ19" i="4"/>
  <c r="AE20" i="4"/>
  <c r="AF20" i="4"/>
  <c r="AG20" i="4"/>
  <c r="AH20" i="4"/>
  <c r="AI20" i="4"/>
  <c r="AJ20" i="4"/>
  <c r="AE21" i="4"/>
  <c r="AF21" i="4"/>
  <c r="AG21" i="4"/>
  <c r="AH21" i="4"/>
  <c r="AI21" i="4"/>
  <c r="AJ21" i="4"/>
  <c r="AE22" i="4"/>
  <c r="AF22" i="4"/>
  <c r="AG22" i="4"/>
  <c r="AH22" i="4"/>
  <c r="AI22" i="4"/>
  <c r="AJ22" i="4"/>
  <c r="AE23" i="4"/>
  <c r="AF23" i="4"/>
  <c r="AG23" i="4"/>
  <c r="AH23" i="4"/>
  <c r="AI23" i="4"/>
  <c r="AJ23" i="4"/>
  <c r="AE24" i="4"/>
  <c r="AF24" i="4"/>
  <c r="AG24" i="4"/>
  <c r="AH24" i="4"/>
  <c r="AI24" i="4"/>
  <c r="AJ24" i="4"/>
  <c r="AE25" i="4"/>
  <c r="AF25" i="4"/>
  <c r="AG25" i="4"/>
  <c r="AH25" i="4"/>
  <c r="AI25" i="4"/>
  <c r="AJ25" i="4"/>
  <c r="AE26" i="4"/>
  <c r="AF26" i="4"/>
  <c r="AG26" i="4"/>
  <c r="AH26" i="4"/>
  <c r="AI26" i="4"/>
  <c r="AJ26" i="4"/>
  <c r="AE27" i="4"/>
  <c r="AF27" i="4"/>
  <c r="AG27" i="4"/>
  <c r="AH27" i="4"/>
  <c r="AI27" i="4"/>
  <c r="AJ27" i="4"/>
  <c r="AE28" i="4"/>
  <c r="AF28" i="4"/>
  <c r="AG28" i="4"/>
  <c r="AH28" i="4"/>
  <c r="AI28" i="4"/>
  <c r="AJ28" i="4"/>
  <c r="AE29" i="4"/>
  <c r="AF29" i="4"/>
  <c r="AG29" i="4"/>
  <c r="AH29" i="4"/>
  <c r="AI29" i="4"/>
  <c r="AJ29" i="4"/>
  <c r="AE30" i="4"/>
  <c r="AF30" i="4"/>
  <c r="AG30" i="4"/>
  <c r="AH30" i="4"/>
  <c r="AI30" i="4"/>
  <c r="AJ30" i="4"/>
  <c r="AE31" i="4"/>
  <c r="AF31" i="4"/>
  <c r="AG31" i="4"/>
  <c r="AH31" i="4"/>
  <c r="AI31" i="4"/>
  <c r="AJ31" i="4"/>
  <c r="AE32" i="4"/>
  <c r="AF32" i="4"/>
  <c r="AG32" i="4"/>
  <c r="AH32" i="4"/>
  <c r="AI32" i="4"/>
  <c r="AJ32" i="4"/>
  <c r="AE33" i="4"/>
  <c r="AF33" i="4"/>
  <c r="AG33" i="4"/>
  <c r="AH33" i="4"/>
  <c r="AI33" i="4"/>
  <c r="AJ33" i="4"/>
  <c r="AE34" i="4"/>
  <c r="AF34" i="4"/>
  <c r="AG34" i="4"/>
  <c r="AH34" i="4"/>
  <c r="AI34" i="4"/>
  <c r="AJ34" i="4"/>
  <c r="AE35" i="4"/>
  <c r="AF35" i="4"/>
  <c r="AG35" i="4"/>
  <c r="AH35" i="4"/>
  <c r="AI35" i="4"/>
  <c r="AJ35" i="4"/>
  <c r="AE36" i="4"/>
  <c r="AF36" i="4"/>
  <c r="AG36" i="4"/>
  <c r="AH36" i="4"/>
  <c r="AI36" i="4"/>
  <c r="AJ36" i="4"/>
  <c r="AE37" i="4"/>
  <c r="AF37" i="4"/>
  <c r="AG37" i="4"/>
  <c r="AH37" i="4"/>
  <c r="AI37" i="4"/>
  <c r="AJ37" i="4"/>
  <c r="AE38" i="4"/>
  <c r="AF38" i="4"/>
  <c r="AG38" i="4"/>
  <c r="AH38" i="4"/>
  <c r="AI38" i="4"/>
  <c r="AJ38" i="4"/>
  <c r="AE39" i="4"/>
  <c r="AF39" i="4"/>
  <c r="AG39" i="4"/>
  <c r="AH39" i="4"/>
  <c r="AI39" i="4"/>
  <c r="AJ39" i="4"/>
  <c r="AE40" i="4"/>
  <c r="AF40" i="4"/>
  <c r="AG40" i="4"/>
  <c r="AH40" i="4"/>
  <c r="AI40" i="4"/>
  <c r="AJ40" i="4"/>
  <c r="AE41" i="4"/>
  <c r="AF41" i="4"/>
  <c r="AG41" i="4"/>
  <c r="AH41" i="4"/>
  <c r="AI41" i="4"/>
  <c r="AJ41" i="4"/>
  <c r="AE42" i="4"/>
  <c r="AF42" i="4"/>
  <c r="AG42" i="4"/>
  <c r="AH42" i="4"/>
  <c r="AI42" i="4"/>
  <c r="AJ42" i="4"/>
  <c r="AE43" i="4"/>
  <c r="AF43" i="4"/>
  <c r="AG43" i="4"/>
  <c r="AH43" i="4"/>
  <c r="AI43" i="4"/>
  <c r="AJ43" i="4"/>
  <c r="AE44" i="4"/>
  <c r="AF44" i="4"/>
  <c r="AG44" i="4"/>
  <c r="AH44" i="4"/>
  <c r="AI44" i="4"/>
  <c r="AJ44" i="4"/>
  <c r="AE45" i="4"/>
  <c r="AF45" i="4"/>
  <c r="AG45" i="4"/>
  <c r="AH45" i="4"/>
  <c r="AI45" i="4"/>
  <c r="AJ45" i="4"/>
  <c r="AE46" i="4"/>
  <c r="AF46" i="4"/>
  <c r="AG46" i="4"/>
  <c r="AH46" i="4"/>
  <c r="AI46" i="4"/>
  <c r="AJ46" i="4"/>
  <c r="AE47" i="4"/>
  <c r="AF47" i="4"/>
  <c r="AG47" i="4"/>
  <c r="AH47" i="4"/>
  <c r="AI47" i="4"/>
  <c r="AJ47" i="4"/>
  <c r="AE48" i="4"/>
  <c r="AF48" i="4"/>
  <c r="AG48" i="4"/>
  <c r="AH48" i="4"/>
  <c r="AI48" i="4"/>
  <c r="AJ48" i="4"/>
  <c r="AE49" i="4"/>
  <c r="AF49" i="4"/>
  <c r="AG49" i="4"/>
  <c r="AH49" i="4"/>
  <c r="AI49" i="4"/>
  <c r="AJ49" i="4"/>
  <c r="AE50" i="4"/>
  <c r="AF50" i="4"/>
  <c r="AG50" i="4"/>
  <c r="AH50" i="4"/>
  <c r="AI50" i="4"/>
  <c r="AJ50" i="4"/>
  <c r="AE51" i="4"/>
  <c r="AF51" i="4"/>
  <c r="AG51" i="4"/>
  <c r="AH51" i="4"/>
  <c r="AI51" i="4"/>
  <c r="AJ51" i="4"/>
  <c r="AE52" i="4"/>
  <c r="AF52" i="4"/>
  <c r="AG52" i="4"/>
  <c r="AH52" i="4"/>
  <c r="AI52" i="4"/>
  <c r="AJ52" i="4"/>
  <c r="AE53" i="4"/>
  <c r="AF53" i="4"/>
  <c r="AG53" i="4"/>
  <c r="AH53" i="4"/>
  <c r="AI53" i="4"/>
  <c r="AJ53" i="4"/>
  <c r="AF54" i="4"/>
  <c r="AG54" i="4"/>
  <c r="BH48" i="2" s="1"/>
  <c r="AH54" i="4"/>
  <c r="AI54" i="4"/>
  <c r="BG48" i="2" s="1"/>
  <c r="AJ54" i="4"/>
  <c r="AE54" i="4"/>
  <c r="C114" i="8" l="1"/>
  <c r="C112" i="8"/>
  <c r="C84" i="8"/>
  <c r="C103" i="8"/>
  <c r="C82" i="8"/>
  <c r="C118" i="8"/>
  <c r="C125" i="8"/>
  <c r="C124" i="8"/>
  <c r="C131" i="8"/>
  <c r="C107" i="8"/>
  <c r="C129" i="8"/>
  <c r="C108" i="8"/>
  <c r="C99" i="8"/>
  <c r="C121" i="8"/>
  <c r="C88" i="8"/>
  <c r="C86" i="8"/>
  <c r="C128" i="8"/>
  <c r="C122" i="8"/>
  <c r="C111" i="8"/>
  <c r="C120" i="8"/>
  <c r="C80" i="8"/>
  <c r="C130" i="8"/>
  <c r="C132" i="8"/>
  <c r="C119" i="8"/>
  <c r="C98" i="8"/>
  <c r="C101" i="8"/>
  <c r="C96" i="8"/>
  <c r="C93" i="8"/>
  <c r="C91" i="8"/>
  <c r="C123" i="8"/>
  <c r="C102" i="8"/>
  <c r="C109" i="8"/>
  <c r="C100" i="8"/>
  <c r="C113" i="8"/>
  <c r="C105" i="8"/>
  <c r="C90" i="8"/>
  <c r="C126" i="8"/>
  <c r="C116" i="8"/>
  <c r="C115" i="8"/>
  <c r="C94" i="8"/>
  <c r="C106" i="8"/>
  <c r="C92" i="8"/>
  <c r="C97" i="8"/>
  <c r="C95" i="8"/>
  <c r="C127" i="8"/>
  <c r="C110" i="8"/>
  <c r="C117" i="8"/>
  <c r="C104" i="8"/>
  <c r="E78" i="8"/>
  <c r="BF48" i="2"/>
  <c r="A8" i="4"/>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A86" i="4" s="1"/>
  <c r="A87" i="4" s="1"/>
  <c r="A88" i="4" s="1"/>
  <c r="A89" i="4" s="1"/>
  <c r="A90" i="4" s="1"/>
  <c r="A91" i="4" s="1"/>
  <c r="A92" i="4" s="1"/>
  <c r="A93" i="4" s="1"/>
  <c r="A94" i="4" s="1"/>
  <c r="A95" i="4" s="1"/>
  <c r="A96" i="4" s="1"/>
  <c r="A97" i="4" s="1"/>
  <c r="A98" i="4" s="1"/>
  <c r="A99" i="4" s="1"/>
  <c r="A100" i="4" s="1"/>
  <c r="A101" i="4" s="1"/>
  <c r="A102" i="4" s="1"/>
  <c r="A103" i="4" s="1"/>
  <c r="A104" i="4" s="1"/>
  <c r="A105" i="4" s="1"/>
  <c r="A106" i="4" s="1"/>
  <c r="A107" i="4" s="1"/>
  <c r="A108" i="4" s="1"/>
  <c r="A109" i="4" s="1"/>
  <c r="C78" i="8" l="1"/>
  <c r="R6" i="2"/>
  <c r="S6" i="2"/>
  <c r="T6" i="2"/>
  <c r="R7" i="2"/>
  <c r="S7" i="2"/>
  <c r="T7" i="2"/>
  <c r="R8" i="2"/>
  <c r="S8" i="2"/>
  <c r="T8" i="2"/>
  <c r="R9" i="2"/>
  <c r="S9" i="2"/>
  <c r="T9" i="2"/>
  <c r="R10" i="2"/>
  <c r="S10" i="2"/>
  <c r="T10" i="2"/>
  <c r="R11" i="2"/>
  <c r="S11" i="2"/>
  <c r="T11" i="2"/>
  <c r="R12" i="2"/>
  <c r="S12" i="2"/>
  <c r="T12" i="2"/>
  <c r="R13" i="2"/>
  <c r="S13" i="2"/>
  <c r="T13" i="2"/>
  <c r="R14" i="2"/>
  <c r="S14" i="2"/>
  <c r="T14" i="2"/>
  <c r="R15" i="2"/>
  <c r="S15" i="2"/>
  <c r="T15" i="2"/>
  <c r="R16" i="2"/>
  <c r="S16" i="2"/>
  <c r="T16" i="2"/>
  <c r="R17" i="2"/>
  <c r="S17" i="2"/>
  <c r="T17" i="2"/>
  <c r="R18" i="2"/>
  <c r="S18" i="2"/>
  <c r="T18" i="2"/>
  <c r="R19" i="2"/>
  <c r="S19" i="2"/>
  <c r="T19" i="2"/>
  <c r="R20" i="2"/>
  <c r="S20" i="2"/>
  <c r="T20" i="2"/>
  <c r="R21" i="2"/>
  <c r="S21" i="2"/>
  <c r="T21" i="2"/>
  <c r="R22" i="2"/>
  <c r="S22" i="2"/>
  <c r="T22" i="2"/>
  <c r="R23" i="2"/>
  <c r="S23" i="2"/>
  <c r="T23" i="2"/>
  <c r="R24" i="2"/>
  <c r="S24" i="2"/>
  <c r="T24" i="2"/>
  <c r="R25" i="2"/>
  <c r="S25" i="2"/>
  <c r="T25" i="2"/>
  <c r="R26" i="2"/>
  <c r="S26" i="2"/>
  <c r="T26" i="2"/>
  <c r="R27" i="2"/>
  <c r="S27" i="2"/>
  <c r="T27" i="2"/>
  <c r="R28" i="2"/>
  <c r="S28" i="2"/>
  <c r="T28" i="2"/>
  <c r="R29" i="2"/>
  <c r="S29" i="2"/>
  <c r="T29" i="2"/>
  <c r="R30" i="2"/>
  <c r="S30" i="2"/>
  <c r="T30" i="2"/>
  <c r="R31" i="2"/>
  <c r="S31" i="2"/>
  <c r="T31" i="2"/>
  <c r="R32" i="2"/>
  <c r="S32" i="2"/>
  <c r="T32" i="2"/>
  <c r="R33" i="2"/>
  <c r="S33" i="2"/>
  <c r="T33" i="2"/>
  <c r="R34" i="2"/>
  <c r="S34" i="2"/>
  <c r="T34" i="2"/>
  <c r="R35" i="2"/>
  <c r="S35" i="2"/>
  <c r="T35" i="2"/>
  <c r="R36" i="2"/>
  <c r="S36" i="2"/>
  <c r="T36" i="2"/>
  <c r="R37" i="2"/>
  <c r="S37" i="2"/>
  <c r="T37" i="2"/>
  <c r="R38" i="2"/>
  <c r="S38" i="2"/>
  <c r="T38" i="2"/>
  <c r="R39" i="2"/>
  <c r="S39" i="2"/>
  <c r="T39" i="2"/>
  <c r="R40" i="2"/>
  <c r="S40" i="2"/>
  <c r="T40" i="2"/>
  <c r="R41" i="2"/>
  <c r="S41" i="2"/>
  <c r="T41" i="2"/>
  <c r="R42" i="2"/>
  <c r="S42" i="2"/>
  <c r="T42" i="2"/>
  <c r="R43" i="2"/>
  <c r="S43" i="2"/>
  <c r="T43" i="2"/>
  <c r="R44" i="2"/>
  <c r="S44" i="2"/>
  <c r="T44" i="2"/>
  <c r="R45" i="2"/>
  <c r="S45" i="2"/>
  <c r="T45" i="2"/>
  <c r="R46" i="2"/>
  <c r="S46" i="2"/>
  <c r="T46" i="2"/>
  <c r="R47" i="2"/>
  <c r="S47" i="2"/>
  <c r="T47" i="2"/>
  <c r="R48" i="2"/>
  <c r="AH48" i="2" s="1"/>
  <c r="G81" i="5" s="1"/>
  <c r="H81" i="5" s="1"/>
  <c r="S48" i="2"/>
  <c r="AI48" i="2" s="1"/>
  <c r="C81" i="5" s="1"/>
  <c r="T48" i="2"/>
  <c r="AJ48" i="2" s="1"/>
  <c r="R49" i="2"/>
  <c r="S49" i="2"/>
  <c r="T49" i="2"/>
  <c r="R50" i="2"/>
  <c r="AH50" i="2" s="1"/>
  <c r="G83" i="5" s="1"/>
  <c r="H83" i="5" s="1"/>
  <c r="N83" i="5" s="1"/>
  <c r="S50" i="2"/>
  <c r="AI50" i="2" s="1"/>
  <c r="C83" i="5" s="1"/>
  <c r="T50" i="2"/>
  <c r="AJ50" i="2" s="1"/>
  <c r="R51" i="2"/>
  <c r="S51" i="2"/>
  <c r="T51" i="2"/>
  <c r="R52" i="2"/>
  <c r="AH52" i="2" s="1"/>
  <c r="G85" i="5" s="1"/>
  <c r="H85" i="5" s="1"/>
  <c r="N85" i="5" s="1"/>
  <c r="O85" i="5" s="1"/>
  <c r="S52" i="2"/>
  <c r="AI52" i="2" s="1"/>
  <c r="C85" i="5" s="1"/>
  <c r="T52" i="2"/>
  <c r="AJ52" i="2" s="1"/>
  <c r="R53" i="2"/>
  <c r="S53" i="2"/>
  <c r="T53" i="2"/>
  <c r="R54" i="2"/>
  <c r="AH54" i="2" s="1"/>
  <c r="G87" i="5" s="1"/>
  <c r="H87" i="5" s="1"/>
  <c r="N87" i="5" s="1"/>
  <c r="S54" i="2"/>
  <c r="AI54" i="2" s="1"/>
  <c r="C87" i="5" s="1"/>
  <c r="T54" i="2"/>
  <c r="AJ54" i="2" s="1"/>
  <c r="R55" i="2"/>
  <c r="S55" i="2"/>
  <c r="T55" i="2"/>
  <c r="R56" i="2"/>
  <c r="AH56" i="2" s="1"/>
  <c r="G89" i="5" s="1"/>
  <c r="H89" i="5" s="1"/>
  <c r="N89" i="5" s="1"/>
  <c r="O89" i="5" s="1"/>
  <c r="S56" i="2"/>
  <c r="AI56" i="2" s="1"/>
  <c r="C89" i="5" s="1"/>
  <c r="T56" i="2"/>
  <c r="AJ56" i="2" s="1"/>
  <c r="R57" i="2"/>
  <c r="S57" i="2"/>
  <c r="T57" i="2"/>
  <c r="R58" i="2"/>
  <c r="AH58" i="2" s="1"/>
  <c r="G91" i="5" s="1"/>
  <c r="H91" i="5" s="1"/>
  <c r="N91" i="5" s="1"/>
  <c r="S58" i="2"/>
  <c r="AI58" i="2" s="1"/>
  <c r="C91" i="5" s="1"/>
  <c r="T58" i="2"/>
  <c r="AJ58" i="2" s="1"/>
  <c r="R59" i="2"/>
  <c r="S59" i="2"/>
  <c r="T59" i="2"/>
  <c r="R60" i="2"/>
  <c r="AH60" i="2" s="1"/>
  <c r="G93" i="5" s="1"/>
  <c r="H93" i="5" s="1"/>
  <c r="N93" i="5" s="1"/>
  <c r="O93" i="5" s="1"/>
  <c r="S60" i="2"/>
  <c r="AI60" i="2" s="1"/>
  <c r="C93" i="5" s="1"/>
  <c r="T60" i="2"/>
  <c r="AJ60" i="2" s="1"/>
  <c r="R61" i="2"/>
  <c r="AH61" i="2" s="1"/>
  <c r="G94" i="5" s="1"/>
  <c r="H94" i="5" s="1"/>
  <c r="N94" i="5" s="1"/>
  <c r="S61" i="2"/>
  <c r="AI61" i="2" s="1"/>
  <c r="C94" i="5" s="1"/>
  <c r="T61" i="2"/>
  <c r="AJ61" i="2" s="1"/>
  <c r="R62" i="2"/>
  <c r="AH62" i="2" s="1"/>
  <c r="G95" i="5" s="1"/>
  <c r="H95" i="5" s="1"/>
  <c r="N95" i="5" s="1"/>
  <c r="S62" i="2"/>
  <c r="AI62" i="2" s="1"/>
  <c r="C95" i="5" s="1"/>
  <c r="T62" i="2"/>
  <c r="AJ62" i="2" s="1"/>
  <c r="R63" i="2"/>
  <c r="AH63" i="2" s="1"/>
  <c r="G96" i="5" s="1"/>
  <c r="H96" i="5" s="1"/>
  <c r="N96" i="5" s="1"/>
  <c r="O96" i="5" s="1"/>
  <c r="S63" i="2"/>
  <c r="AI63" i="2" s="1"/>
  <c r="C96" i="5" s="1"/>
  <c r="T63" i="2"/>
  <c r="AJ63" i="2" s="1"/>
  <c r="R64" i="2"/>
  <c r="AH64" i="2" s="1"/>
  <c r="G97" i="5" s="1"/>
  <c r="H97" i="5" s="1"/>
  <c r="N97" i="5" s="1"/>
  <c r="S64" i="2"/>
  <c r="AI64" i="2" s="1"/>
  <c r="C97" i="5" s="1"/>
  <c r="T64" i="2"/>
  <c r="AJ64" i="2" s="1"/>
  <c r="R65" i="2"/>
  <c r="AH65" i="2" s="1"/>
  <c r="G98" i="5" s="1"/>
  <c r="H98" i="5" s="1"/>
  <c r="N98" i="5" s="1"/>
  <c r="S65" i="2"/>
  <c r="AI65" i="2" s="1"/>
  <c r="C98" i="5" s="1"/>
  <c r="T65" i="2"/>
  <c r="AJ65" i="2" s="1"/>
  <c r="R66" i="2"/>
  <c r="AH66" i="2" s="1"/>
  <c r="G99" i="5" s="1"/>
  <c r="H99" i="5" s="1"/>
  <c r="N99" i="5" s="1"/>
  <c r="S66" i="2"/>
  <c r="AI66" i="2" s="1"/>
  <c r="C99" i="5" s="1"/>
  <c r="T66" i="2"/>
  <c r="AJ66" i="2" s="1"/>
  <c r="R67" i="2"/>
  <c r="AH67" i="2" s="1"/>
  <c r="G100" i="5" s="1"/>
  <c r="H100" i="5" s="1"/>
  <c r="N100" i="5" s="1"/>
  <c r="S67" i="2"/>
  <c r="AI67" i="2" s="1"/>
  <c r="C100" i="5" s="1"/>
  <c r="T67" i="2"/>
  <c r="AJ67" i="2" s="1"/>
  <c r="R68" i="2"/>
  <c r="AH68" i="2" s="1"/>
  <c r="G101" i="5" s="1"/>
  <c r="H101" i="5" s="1"/>
  <c r="N101" i="5" s="1"/>
  <c r="O101" i="5" s="1"/>
  <c r="S68" i="2"/>
  <c r="AI68" i="2" s="1"/>
  <c r="C101" i="5" s="1"/>
  <c r="T68" i="2"/>
  <c r="AJ68" i="2" s="1"/>
  <c r="R69" i="2"/>
  <c r="AH69" i="2" s="1"/>
  <c r="G102" i="5" s="1"/>
  <c r="H102" i="5" s="1"/>
  <c r="N102" i="5" s="1"/>
  <c r="S69" i="2"/>
  <c r="AI69" i="2" s="1"/>
  <c r="C102" i="5" s="1"/>
  <c r="T69" i="2"/>
  <c r="AJ69" i="2" s="1"/>
  <c r="R70" i="2"/>
  <c r="AH70" i="2" s="1"/>
  <c r="G103" i="5" s="1"/>
  <c r="H103" i="5" s="1"/>
  <c r="N103" i="5" s="1"/>
  <c r="S70" i="2"/>
  <c r="AI70" i="2" s="1"/>
  <c r="C103" i="5" s="1"/>
  <c r="T70" i="2"/>
  <c r="AJ70" i="2" s="1"/>
  <c r="R71" i="2"/>
  <c r="AH71" i="2" s="1"/>
  <c r="G104" i="5" s="1"/>
  <c r="H104" i="5" s="1"/>
  <c r="N104" i="5" s="1"/>
  <c r="O104" i="5" s="1"/>
  <c r="S71" i="2"/>
  <c r="AI71" i="2" s="1"/>
  <c r="C104" i="5" s="1"/>
  <c r="T71" i="2"/>
  <c r="AJ71" i="2" s="1"/>
  <c r="R72" i="2"/>
  <c r="AH72" i="2" s="1"/>
  <c r="G105" i="5" s="1"/>
  <c r="H105" i="5" s="1"/>
  <c r="N105" i="5" s="1"/>
  <c r="S72" i="2"/>
  <c r="AI72" i="2" s="1"/>
  <c r="C105" i="5" s="1"/>
  <c r="T72" i="2"/>
  <c r="AJ72" i="2" s="1"/>
  <c r="R73" i="2"/>
  <c r="AH73" i="2" s="1"/>
  <c r="G106" i="5" s="1"/>
  <c r="H106" i="5" s="1"/>
  <c r="N106" i="5" s="1"/>
  <c r="S73" i="2"/>
  <c r="AI73" i="2" s="1"/>
  <c r="C106" i="5" s="1"/>
  <c r="T73" i="2"/>
  <c r="AJ73" i="2" s="1"/>
  <c r="R74" i="2"/>
  <c r="AH74" i="2" s="1"/>
  <c r="G107" i="5" s="1"/>
  <c r="H107" i="5" s="1"/>
  <c r="N107" i="5" s="1"/>
  <c r="S74" i="2"/>
  <c r="AI74" i="2" s="1"/>
  <c r="C107" i="5" s="1"/>
  <c r="T74" i="2"/>
  <c r="AJ74" i="2" s="1"/>
  <c r="R75" i="2"/>
  <c r="AH75" i="2" s="1"/>
  <c r="G108" i="5" s="1"/>
  <c r="H108" i="5" s="1"/>
  <c r="N108" i="5" s="1"/>
  <c r="S75" i="2"/>
  <c r="AI75" i="2" s="1"/>
  <c r="C108" i="5" s="1"/>
  <c r="T75" i="2"/>
  <c r="AJ75" i="2" s="1"/>
  <c r="R76" i="2"/>
  <c r="AH76" i="2" s="1"/>
  <c r="G109" i="5" s="1"/>
  <c r="H109" i="5" s="1"/>
  <c r="N109" i="5" s="1"/>
  <c r="O109" i="5" s="1"/>
  <c r="S76" i="2"/>
  <c r="AI76" i="2" s="1"/>
  <c r="C109" i="5" s="1"/>
  <c r="T76" i="2"/>
  <c r="AJ76" i="2" s="1"/>
  <c r="R77" i="2"/>
  <c r="AH77" i="2" s="1"/>
  <c r="G110" i="5" s="1"/>
  <c r="H110" i="5" s="1"/>
  <c r="N110" i="5" s="1"/>
  <c r="S77" i="2"/>
  <c r="AI77" i="2" s="1"/>
  <c r="C110" i="5" s="1"/>
  <c r="T77" i="2"/>
  <c r="AJ77" i="2" s="1"/>
  <c r="R78" i="2"/>
  <c r="AH78" i="2" s="1"/>
  <c r="G111" i="5" s="1"/>
  <c r="H111" i="5" s="1"/>
  <c r="N111" i="5" s="1"/>
  <c r="S78" i="2"/>
  <c r="AI78" i="2" s="1"/>
  <c r="C111" i="5" s="1"/>
  <c r="T78" i="2"/>
  <c r="AJ78" i="2" s="1"/>
  <c r="R79" i="2"/>
  <c r="AH79" i="2" s="1"/>
  <c r="G112" i="5" s="1"/>
  <c r="H112" i="5" s="1"/>
  <c r="N112" i="5" s="1"/>
  <c r="O112" i="5" s="1"/>
  <c r="S79" i="2"/>
  <c r="AI79" i="2" s="1"/>
  <c r="C112" i="5" s="1"/>
  <c r="T79" i="2"/>
  <c r="AJ79" i="2" s="1"/>
  <c r="R80" i="2"/>
  <c r="AH80" i="2" s="1"/>
  <c r="G113" i="5" s="1"/>
  <c r="H113" i="5" s="1"/>
  <c r="N113" i="5" s="1"/>
  <c r="S80" i="2"/>
  <c r="AI80" i="2" s="1"/>
  <c r="C113" i="5" s="1"/>
  <c r="T80" i="2"/>
  <c r="AJ80" i="2" s="1"/>
  <c r="R81" i="2"/>
  <c r="AH81" i="2" s="1"/>
  <c r="G114" i="5" s="1"/>
  <c r="H114" i="5" s="1"/>
  <c r="N114" i="5" s="1"/>
  <c r="S81" i="2"/>
  <c r="AI81" i="2" s="1"/>
  <c r="C114" i="5" s="1"/>
  <c r="T81" i="2"/>
  <c r="AJ81" i="2" s="1"/>
  <c r="R82" i="2"/>
  <c r="AH82" i="2" s="1"/>
  <c r="G115" i="5" s="1"/>
  <c r="H115" i="5" s="1"/>
  <c r="N115" i="5" s="1"/>
  <c r="S82" i="2"/>
  <c r="AI82" i="2" s="1"/>
  <c r="C115" i="5" s="1"/>
  <c r="T82" i="2"/>
  <c r="AJ82" i="2" s="1"/>
  <c r="R83" i="2"/>
  <c r="AH83" i="2" s="1"/>
  <c r="G116" i="5" s="1"/>
  <c r="H116" i="5" s="1"/>
  <c r="N116" i="5" s="1"/>
  <c r="S83" i="2"/>
  <c r="AI83" i="2" s="1"/>
  <c r="C116" i="5" s="1"/>
  <c r="T83" i="2"/>
  <c r="AJ83" i="2" s="1"/>
  <c r="R84" i="2"/>
  <c r="AH84" i="2" s="1"/>
  <c r="G117" i="5" s="1"/>
  <c r="H117" i="5" s="1"/>
  <c r="N117" i="5" s="1"/>
  <c r="O117" i="5" s="1"/>
  <c r="S84" i="2"/>
  <c r="AI84" i="2" s="1"/>
  <c r="C117" i="5" s="1"/>
  <c r="T84" i="2"/>
  <c r="AJ84" i="2" s="1"/>
  <c r="R85" i="2"/>
  <c r="AH85" i="2" s="1"/>
  <c r="G118" i="5" s="1"/>
  <c r="H118" i="5" s="1"/>
  <c r="N118" i="5" s="1"/>
  <c r="S85" i="2"/>
  <c r="AI85" i="2" s="1"/>
  <c r="C118" i="5" s="1"/>
  <c r="T85" i="2"/>
  <c r="AJ85" i="2" s="1"/>
  <c r="R86" i="2"/>
  <c r="AH86" i="2" s="1"/>
  <c r="G119" i="5" s="1"/>
  <c r="H119" i="5" s="1"/>
  <c r="N119" i="5" s="1"/>
  <c r="S86" i="2"/>
  <c r="AI86" i="2" s="1"/>
  <c r="C119" i="5" s="1"/>
  <c r="T86" i="2"/>
  <c r="AJ86" i="2" s="1"/>
  <c r="R87" i="2"/>
  <c r="AH87" i="2" s="1"/>
  <c r="G120" i="5" s="1"/>
  <c r="H120" i="5" s="1"/>
  <c r="N120" i="5" s="1"/>
  <c r="O120" i="5" s="1"/>
  <c r="S87" i="2"/>
  <c r="AI87" i="2" s="1"/>
  <c r="C120" i="5" s="1"/>
  <c r="T87" i="2"/>
  <c r="AJ87" i="2" s="1"/>
  <c r="R88" i="2"/>
  <c r="AH88" i="2" s="1"/>
  <c r="G121" i="5" s="1"/>
  <c r="H121" i="5" s="1"/>
  <c r="N121" i="5" s="1"/>
  <c r="S88" i="2"/>
  <c r="AI88" i="2" s="1"/>
  <c r="C121" i="5" s="1"/>
  <c r="T88" i="2"/>
  <c r="AJ88" i="2" s="1"/>
  <c r="R89" i="2"/>
  <c r="AH89" i="2" s="1"/>
  <c r="G122" i="5" s="1"/>
  <c r="H122" i="5" s="1"/>
  <c r="N122" i="5" s="1"/>
  <c r="S89" i="2"/>
  <c r="AI89" i="2" s="1"/>
  <c r="C122" i="5" s="1"/>
  <c r="T89" i="2"/>
  <c r="AJ89" i="2" s="1"/>
  <c r="R90" i="2"/>
  <c r="AH90" i="2" s="1"/>
  <c r="G123" i="5" s="1"/>
  <c r="H123" i="5" s="1"/>
  <c r="N123" i="5" s="1"/>
  <c r="S90" i="2"/>
  <c r="AI90" i="2" s="1"/>
  <c r="C123" i="5" s="1"/>
  <c r="T90" i="2"/>
  <c r="AJ90" i="2" s="1"/>
  <c r="R91" i="2"/>
  <c r="AH91" i="2" s="1"/>
  <c r="G124" i="5" s="1"/>
  <c r="H124" i="5" s="1"/>
  <c r="N124" i="5" s="1"/>
  <c r="S91" i="2"/>
  <c r="AI91" i="2" s="1"/>
  <c r="C124" i="5" s="1"/>
  <c r="T91" i="2"/>
  <c r="AJ91" i="2" s="1"/>
  <c r="R92" i="2"/>
  <c r="AH92" i="2" s="1"/>
  <c r="G125" i="5" s="1"/>
  <c r="H125" i="5" s="1"/>
  <c r="N125" i="5" s="1"/>
  <c r="O125" i="5" s="1"/>
  <c r="S92" i="2"/>
  <c r="AI92" i="2" s="1"/>
  <c r="C125" i="5" s="1"/>
  <c r="T92" i="2"/>
  <c r="AJ92" i="2" s="1"/>
  <c r="R93" i="2"/>
  <c r="AH93" i="2" s="1"/>
  <c r="G126" i="5" s="1"/>
  <c r="H126" i="5" s="1"/>
  <c r="N126" i="5" s="1"/>
  <c r="S93" i="2"/>
  <c r="AI93" i="2" s="1"/>
  <c r="C126" i="5" s="1"/>
  <c r="T93" i="2"/>
  <c r="AJ93" i="2" s="1"/>
  <c r="R94" i="2"/>
  <c r="AH94" i="2" s="1"/>
  <c r="G127" i="5" s="1"/>
  <c r="H127" i="5" s="1"/>
  <c r="N127" i="5" s="1"/>
  <c r="S94" i="2"/>
  <c r="AI94" i="2" s="1"/>
  <c r="C127" i="5" s="1"/>
  <c r="T94" i="2"/>
  <c r="AJ94" i="2" s="1"/>
  <c r="R95" i="2"/>
  <c r="AH95" i="2" s="1"/>
  <c r="G128" i="5" s="1"/>
  <c r="H128" i="5" s="1"/>
  <c r="N128" i="5" s="1"/>
  <c r="O128" i="5" s="1"/>
  <c r="S95" i="2"/>
  <c r="AI95" i="2" s="1"/>
  <c r="C128" i="5" s="1"/>
  <c r="T95" i="2"/>
  <c r="AJ95" i="2" s="1"/>
  <c r="R96" i="2"/>
  <c r="AH96" i="2" s="1"/>
  <c r="G129" i="5" s="1"/>
  <c r="H129" i="5" s="1"/>
  <c r="N129" i="5" s="1"/>
  <c r="S96" i="2"/>
  <c r="AI96" i="2" s="1"/>
  <c r="C129" i="5" s="1"/>
  <c r="T96" i="2"/>
  <c r="AJ96" i="2" s="1"/>
  <c r="R97" i="2"/>
  <c r="AH97" i="2" s="1"/>
  <c r="G130" i="5" s="1"/>
  <c r="H130" i="5" s="1"/>
  <c r="N130" i="5" s="1"/>
  <c r="S97" i="2"/>
  <c r="AI97" i="2" s="1"/>
  <c r="C130" i="5" s="1"/>
  <c r="T97" i="2"/>
  <c r="AJ97" i="2" s="1"/>
  <c r="R98" i="2"/>
  <c r="AH98" i="2" s="1"/>
  <c r="G131" i="5" s="1"/>
  <c r="H131" i="5" s="1"/>
  <c r="N131" i="5" s="1"/>
  <c r="S98" i="2"/>
  <c r="AI98" i="2" s="1"/>
  <c r="C131" i="5" s="1"/>
  <c r="T98" i="2"/>
  <c r="AJ98" i="2" s="1"/>
  <c r="R99" i="2"/>
  <c r="AH99" i="2" s="1"/>
  <c r="G132" i="5" s="1"/>
  <c r="H132" i="5" s="1"/>
  <c r="N132" i="5" s="1"/>
  <c r="S99" i="2"/>
  <c r="AI99" i="2" s="1"/>
  <c r="C132" i="5" s="1"/>
  <c r="T99" i="2"/>
  <c r="AJ99" i="2" s="1"/>
  <c r="R100" i="2"/>
  <c r="AH100" i="2" s="1"/>
  <c r="G133" i="5" s="1"/>
  <c r="H133" i="5" s="1"/>
  <c r="N133" i="5" s="1"/>
  <c r="O133" i="5" s="1"/>
  <c r="S100" i="2"/>
  <c r="AI100" i="2" s="1"/>
  <c r="C133" i="5" s="1"/>
  <c r="T100" i="2"/>
  <c r="AJ100" i="2" s="1"/>
  <c r="R101" i="2"/>
  <c r="AH101" i="2" s="1"/>
  <c r="G134" i="5" s="1"/>
  <c r="H134" i="5" s="1"/>
  <c r="N134" i="5" s="1"/>
  <c r="S101" i="2"/>
  <c r="AI101" i="2" s="1"/>
  <c r="C134" i="5" s="1"/>
  <c r="T101" i="2"/>
  <c r="AJ101" i="2" s="1"/>
  <c r="R102" i="2"/>
  <c r="AH102" i="2" s="1"/>
  <c r="G135" i="5" s="1"/>
  <c r="H135" i="5" s="1"/>
  <c r="N135" i="5" s="1"/>
  <c r="S102" i="2"/>
  <c r="AI102" i="2" s="1"/>
  <c r="C135" i="5" s="1"/>
  <c r="T102" i="2"/>
  <c r="AJ102" i="2" s="1"/>
  <c r="S5" i="2"/>
  <c r="R5" i="2"/>
  <c r="T5" i="2"/>
  <c r="M6" i="2"/>
  <c r="N6" i="2"/>
  <c r="O6" i="2"/>
  <c r="M7" i="2"/>
  <c r="N7" i="2"/>
  <c r="O7" i="2"/>
  <c r="N8" i="2"/>
  <c r="O8" i="2"/>
  <c r="M8" i="2"/>
  <c r="M9" i="2"/>
  <c r="N9" i="2"/>
  <c r="O9" i="2"/>
  <c r="M10" i="2"/>
  <c r="N10" i="2"/>
  <c r="O10" i="2"/>
  <c r="M11" i="2"/>
  <c r="N11" i="2"/>
  <c r="O11" i="2"/>
  <c r="N12" i="2"/>
  <c r="O12" i="2"/>
  <c r="M12" i="2"/>
  <c r="M13" i="2"/>
  <c r="N13" i="2"/>
  <c r="O13" i="2"/>
  <c r="M14" i="2"/>
  <c r="N14" i="2"/>
  <c r="O14" i="2"/>
  <c r="M15" i="2"/>
  <c r="N15" i="2"/>
  <c r="O15" i="2"/>
  <c r="N16" i="2"/>
  <c r="O16" i="2"/>
  <c r="M16" i="2"/>
  <c r="M17" i="2"/>
  <c r="N17" i="2"/>
  <c r="O17" i="2"/>
  <c r="M18" i="2"/>
  <c r="N18" i="2"/>
  <c r="O18" i="2"/>
  <c r="M19" i="2"/>
  <c r="N19" i="2"/>
  <c r="O19" i="2"/>
  <c r="N20" i="2"/>
  <c r="O20" i="2"/>
  <c r="M20" i="2"/>
  <c r="M21" i="2"/>
  <c r="N21" i="2"/>
  <c r="O21" i="2"/>
  <c r="M22" i="2"/>
  <c r="N22" i="2"/>
  <c r="O22" i="2"/>
  <c r="M23" i="2"/>
  <c r="N23" i="2"/>
  <c r="O23" i="2"/>
  <c r="N24" i="2"/>
  <c r="O24" i="2"/>
  <c r="M24" i="2"/>
  <c r="M25" i="2"/>
  <c r="N25" i="2"/>
  <c r="O25" i="2"/>
  <c r="M26" i="2"/>
  <c r="N26" i="2"/>
  <c r="O26" i="2"/>
  <c r="M27" i="2"/>
  <c r="N27" i="2"/>
  <c r="O27" i="2"/>
  <c r="N28" i="2"/>
  <c r="O28" i="2"/>
  <c r="M28" i="2"/>
  <c r="M29" i="2"/>
  <c r="N29" i="2"/>
  <c r="O29" i="2"/>
  <c r="M30" i="2"/>
  <c r="N30" i="2"/>
  <c r="O30" i="2"/>
  <c r="M31" i="2"/>
  <c r="N31" i="2"/>
  <c r="O31" i="2"/>
  <c r="N32" i="2"/>
  <c r="O32" i="2"/>
  <c r="M32" i="2"/>
  <c r="M33" i="2"/>
  <c r="N33" i="2"/>
  <c r="O33" i="2"/>
  <c r="M34" i="2"/>
  <c r="N34" i="2"/>
  <c r="O34" i="2"/>
  <c r="M35" i="2"/>
  <c r="N35" i="2"/>
  <c r="O35" i="2"/>
  <c r="N36" i="2"/>
  <c r="O36" i="2"/>
  <c r="M36" i="2"/>
  <c r="M37" i="2"/>
  <c r="N37" i="2"/>
  <c r="O37" i="2"/>
  <c r="M38" i="2"/>
  <c r="N38" i="2"/>
  <c r="O38" i="2"/>
  <c r="M39" i="2"/>
  <c r="N39" i="2"/>
  <c r="O39" i="2"/>
  <c r="N40" i="2"/>
  <c r="O40" i="2"/>
  <c r="M40" i="2"/>
  <c r="M41" i="2"/>
  <c r="N41" i="2"/>
  <c r="O41" i="2"/>
  <c r="M42" i="2"/>
  <c r="N42" i="2"/>
  <c r="O42" i="2"/>
  <c r="M43" i="2"/>
  <c r="N43" i="2"/>
  <c r="O43" i="2"/>
  <c r="N44" i="2"/>
  <c r="O44" i="2"/>
  <c r="M44" i="2"/>
  <c r="M45" i="2"/>
  <c r="N45" i="2"/>
  <c r="O45" i="2"/>
  <c r="M46" i="2"/>
  <c r="N46" i="2"/>
  <c r="O46" i="2"/>
  <c r="M47" i="2"/>
  <c r="N47" i="2"/>
  <c r="O47" i="2"/>
  <c r="N48" i="2"/>
  <c r="O48" i="2"/>
  <c r="M48" i="2"/>
  <c r="M49" i="2"/>
  <c r="N49" i="2"/>
  <c r="O49" i="2"/>
  <c r="M50" i="2"/>
  <c r="N50" i="2"/>
  <c r="O50" i="2"/>
  <c r="M51" i="2"/>
  <c r="N51" i="2"/>
  <c r="O51" i="2"/>
  <c r="N52" i="2"/>
  <c r="O52" i="2"/>
  <c r="M52" i="2"/>
  <c r="M53" i="2"/>
  <c r="N53" i="2"/>
  <c r="O53" i="2"/>
  <c r="M54" i="2"/>
  <c r="N54" i="2"/>
  <c r="O54" i="2"/>
  <c r="M55" i="2"/>
  <c r="N55" i="2"/>
  <c r="O55" i="2"/>
  <c r="N56" i="2"/>
  <c r="O56" i="2"/>
  <c r="M56" i="2"/>
  <c r="M57" i="2"/>
  <c r="N57" i="2"/>
  <c r="O57" i="2"/>
  <c r="M58" i="2"/>
  <c r="N58" i="2"/>
  <c r="O58" i="2"/>
  <c r="M59" i="2"/>
  <c r="N59" i="2"/>
  <c r="O59" i="2"/>
  <c r="N60" i="2"/>
  <c r="O60" i="2"/>
  <c r="M60" i="2"/>
  <c r="M61" i="2"/>
  <c r="N61" i="2"/>
  <c r="O61" i="2"/>
  <c r="M62" i="2"/>
  <c r="N62" i="2"/>
  <c r="O62" i="2"/>
  <c r="M63" i="2"/>
  <c r="N63" i="2"/>
  <c r="O63" i="2"/>
  <c r="N64" i="2"/>
  <c r="O64" i="2"/>
  <c r="M64" i="2"/>
  <c r="M65" i="2"/>
  <c r="N65" i="2"/>
  <c r="O65" i="2"/>
  <c r="M66" i="2"/>
  <c r="N66" i="2"/>
  <c r="O66" i="2"/>
  <c r="M67" i="2"/>
  <c r="N67" i="2"/>
  <c r="O67" i="2"/>
  <c r="N68" i="2"/>
  <c r="O68" i="2"/>
  <c r="M68" i="2"/>
  <c r="M69" i="2"/>
  <c r="N69" i="2"/>
  <c r="O69" i="2"/>
  <c r="M70" i="2"/>
  <c r="N70" i="2"/>
  <c r="O70" i="2"/>
  <c r="M71" i="2"/>
  <c r="N71" i="2"/>
  <c r="O71" i="2"/>
  <c r="N72" i="2"/>
  <c r="O72" i="2"/>
  <c r="M72" i="2"/>
  <c r="M73" i="2"/>
  <c r="N73" i="2"/>
  <c r="O73" i="2"/>
  <c r="M74" i="2"/>
  <c r="N74" i="2"/>
  <c r="O74" i="2"/>
  <c r="M75" i="2"/>
  <c r="N75" i="2"/>
  <c r="O75" i="2"/>
  <c r="N76" i="2"/>
  <c r="O76" i="2"/>
  <c r="M76" i="2"/>
  <c r="M77" i="2"/>
  <c r="N77" i="2"/>
  <c r="O77" i="2"/>
  <c r="M78" i="2"/>
  <c r="N78" i="2"/>
  <c r="O78" i="2"/>
  <c r="M79" i="2"/>
  <c r="N79" i="2"/>
  <c r="O79" i="2"/>
  <c r="N80" i="2"/>
  <c r="O80" i="2"/>
  <c r="M80" i="2"/>
  <c r="M81" i="2"/>
  <c r="N81" i="2"/>
  <c r="O81" i="2"/>
  <c r="M82" i="2"/>
  <c r="N82" i="2"/>
  <c r="O82" i="2"/>
  <c r="M83" i="2"/>
  <c r="N83" i="2"/>
  <c r="O83" i="2"/>
  <c r="N84" i="2"/>
  <c r="O84" i="2"/>
  <c r="M84" i="2"/>
  <c r="M85" i="2"/>
  <c r="N85" i="2"/>
  <c r="O85" i="2"/>
  <c r="M86" i="2"/>
  <c r="N86" i="2"/>
  <c r="O86" i="2"/>
  <c r="M87" i="2"/>
  <c r="N87" i="2"/>
  <c r="O87" i="2"/>
  <c r="N88" i="2"/>
  <c r="O88" i="2"/>
  <c r="M88" i="2"/>
  <c r="M89" i="2"/>
  <c r="N89" i="2"/>
  <c r="O89" i="2"/>
  <c r="M90" i="2"/>
  <c r="N90" i="2"/>
  <c r="O90" i="2"/>
  <c r="M91" i="2"/>
  <c r="N91" i="2"/>
  <c r="O91" i="2"/>
  <c r="N92" i="2"/>
  <c r="O92" i="2"/>
  <c r="M92" i="2"/>
  <c r="M93" i="2"/>
  <c r="N93" i="2"/>
  <c r="O93" i="2"/>
  <c r="M94" i="2"/>
  <c r="N94" i="2"/>
  <c r="O94" i="2"/>
  <c r="M95" i="2"/>
  <c r="N95" i="2"/>
  <c r="O95" i="2"/>
  <c r="N96" i="2"/>
  <c r="O96" i="2"/>
  <c r="M96" i="2"/>
  <c r="M97" i="2"/>
  <c r="N97" i="2"/>
  <c r="O97" i="2"/>
  <c r="M98" i="2"/>
  <c r="N98" i="2"/>
  <c r="O98" i="2"/>
  <c r="M99" i="2"/>
  <c r="N99" i="2"/>
  <c r="O99" i="2"/>
  <c r="N100" i="2"/>
  <c r="O100" i="2"/>
  <c r="M100" i="2"/>
  <c r="M101" i="2"/>
  <c r="N101" i="2"/>
  <c r="O101" i="2"/>
  <c r="M102" i="2"/>
  <c r="N102" i="2"/>
  <c r="O102" i="2"/>
  <c r="N5" i="2"/>
  <c r="O5" i="2"/>
  <c r="M5" i="2"/>
  <c r="O121" i="5" l="1"/>
  <c r="O105" i="5"/>
  <c r="O134" i="5"/>
  <c r="O126" i="5"/>
  <c r="O118" i="5"/>
  <c r="O110" i="5"/>
  <c r="O102" i="5"/>
  <c r="O94" i="5"/>
  <c r="O129" i="5"/>
  <c r="O113" i="5"/>
  <c r="O97" i="5"/>
  <c r="N81" i="5"/>
  <c r="G33" i="5"/>
  <c r="O131" i="5"/>
  <c r="O123" i="5"/>
  <c r="O115" i="5"/>
  <c r="O107" i="5"/>
  <c r="O99" i="5"/>
  <c r="O91" i="5"/>
  <c r="O83" i="5"/>
  <c r="O122" i="5"/>
  <c r="O106" i="5"/>
  <c r="O135" i="5"/>
  <c r="O136" i="5"/>
  <c r="O127" i="5"/>
  <c r="O119" i="5"/>
  <c r="O111" i="5"/>
  <c r="O103" i="5"/>
  <c r="O95" i="5"/>
  <c r="O87" i="5"/>
  <c r="O130" i="5"/>
  <c r="O114" i="5"/>
  <c r="O98" i="5"/>
  <c r="O132" i="5"/>
  <c r="O124" i="5"/>
  <c r="O116" i="5"/>
  <c r="O108" i="5"/>
  <c r="O100" i="5"/>
  <c r="V10" i="2"/>
  <c r="W10" i="2"/>
  <c r="X10" i="2"/>
  <c r="V11" i="2"/>
  <c r="W11" i="2"/>
  <c r="X11" i="2"/>
  <c r="V12" i="2"/>
  <c r="W12" i="2"/>
  <c r="X12" i="2"/>
  <c r="V13" i="2"/>
  <c r="W13" i="2"/>
  <c r="X13" i="2"/>
  <c r="V14" i="2"/>
  <c r="W14" i="2"/>
  <c r="X14" i="2"/>
  <c r="V15" i="2"/>
  <c r="W15" i="2"/>
  <c r="X15" i="2"/>
  <c r="V16" i="2"/>
  <c r="W16" i="2"/>
  <c r="X16" i="2"/>
  <c r="V17" i="2"/>
  <c r="W17" i="2"/>
  <c r="X17" i="2"/>
  <c r="V18" i="2"/>
  <c r="W18" i="2"/>
  <c r="X18" i="2"/>
  <c r="V19" i="2"/>
  <c r="W19" i="2"/>
  <c r="X19" i="2"/>
  <c r="V20" i="2"/>
  <c r="W20" i="2"/>
  <c r="X20" i="2"/>
  <c r="V21" i="2"/>
  <c r="W21" i="2"/>
  <c r="X21" i="2"/>
  <c r="V22" i="2"/>
  <c r="W22" i="2"/>
  <c r="X22" i="2"/>
  <c r="V23" i="2"/>
  <c r="W23" i="2"/>
  <c r="X23" i="2"/>
  <c r="V24" i="2"/>
  <c r="W24" i="2"/>
  <c r="X24" i="2"/>
  <c r="V25" i="2"/>
  <c r="W25" i="2"/>
  <c r="X25" i="2"/>
  <c r="V26" i="2"/>
  <c r="W26" i="2"/>
  <c r="X26" i="2"/>
  <c r="V27" i="2"/>
  <c r="W27" i="2"/>
  <c r="X27" i="2"/>
  <c r="V28" i="2"/>
  <c r="W28" i="2"/>
  <c r="X28" i="2"/>
  <c r="V29" i="2"/>
  <c r="W29" i="2"/>
  <c r="X29" i="2"/>
  <c r="V30" i="2"/>
  <c r="W30" i="2"/>
  <c r="X30" i="2"/>
  <c r="V32" i="2"/>
  <c r="W32" i="2"/>
  <c r="X32" i="2"/>
  <c r="V33" i="2"/>
  <c r="W33" i="2"/>
  <c r="X33" i="2"/>
  <c r="V34" i="2"/>
  <c r="W34" i="2"/>
  <c r="X34" i="2"/>
  <c r="V35" i="2"/>
  <c r="W35" i="2"/>
  <c r="X35" i="2"/>
  <c r="V36" i="2"/>
  <c r="W36" i="2"/>
  <c r="X36" i="2"/>
  <c r="V37" i="2"/>
  <c r="W37" i="2"/>
  <c r="X37" i="2"/>
  <c r="V38" i="2"/>
  <c r="W38" i="2"/>
  <c r="X38" i="2"/>
  <c r="V40" i="2"/>
  <c r="W40" i="2"/>
  <c r="X40" i="2"/>
  <c r="V41" i="2"/>
  <c r="W41" i="2"/>
  <c r="X41" i="2"/>
  <c r="V42" i="2"/>
  <c r="W42" i="2"/>
  <c r="X42" i="2"/>
  <c r="V44" i="2"/>
  <c r="W44" i="2"/>
  <c r="X44" i="2"/>
  <c r="V46" i="2"/>
  <c r="W46" i="2"/>
  <c r="X46" i="2"/>
  <c r="X5" i="2"/>
  <c r="AB5" i="2" s="1"/>
  <c r="W5" i="2"/>
  <c r="AA5" i="2" s="1"/>
  <c r="B38" i="5" s="1"/>
  <c r="V5" i="2"/>
  <c r="Z5" i="2" s="1"/>
  <c r="F38" i="5" s="1"/>
  <c r="H38" i="5" s="1"/>
  <c r="Z44" i="2" l="1"/>
  <c r="F77" i="5" s="1"/>
  <c r="H77" i="5" s="1"/>
  <c r="N77" i="5" s="1"/>
  <c r="BB44" i="2"/>
  <c r="BF44" i="2" s="1"/>
  <c r="Z32" i="2"/>
  <c r="F65" i="5" s="1"/>
  <c r="H65" i="5" s="1"/>
  <c r="N65" i="5" s="1"/>
  <c r="O65" i="5" s="1"/>
  <c r="BB32" i="2"/>
  <c r="BF32" i="2" s="1"/>
  <c r="Z23" i="2"/>
  <c r="F56" i="5" s="1"/>
  <c r="H56" i="5" s="1"/>
  <c r="N56" i="5" s="1"/>
  <c r="BB23" i="2"/>
  <c r="BF23" i="2" s="1"/>
  <c r="Z13" i="2"/>
  <c r="F46" i="5" s="1"/>
  <c r="H46" i="5" s="1"/>
  <c r="N46" i="5" s="1"/>
  <c r="BB13" i="2"/>
  <c r="BF13" i="2" s="1"/>
  <c r="AB44" i="2"/>
  <c r="BD44" i="2"/>
  <c r="BH44" i="2" s="1"/>
  <c r="AB41" i="2"/>
  <c r="BD41" i="2"/>
  <c r="BH41" i="2" s="1"/>
  <c r="AB38" i="2"/>
  <c r="BD38" i="2"/>
  <c r="BH38" i="2" s="1"/>
  <c r="AB36" i="2"/>
  <c r="BD36" i="2"/>
  <c r="BH36" i="2" s="1"/>
  <c r="AB34" i="2"/>
  <c r="BD34" i="2"/>
  <c r="BH34" i="2" s="1"/>
  <c r="AB32" i="2"/>
  <c r="BD32" i="2"/>
  <c r="BH32" i="2" s="1"/>
  <c r="AB29" i="2"/>
  <c r="BD29" i="2"/>
  <c r="BH29" i="2" s="1"/>
  <c r="AB27" i="2"/>
  <c r="BD27" i="2"/>
  <c r="BH27" i="2" s="1"/>
  <c r="AB25" i="2"/>
  <c r="BD25" i="2"/>
  <c r="BH25" i="2" s="1"/>
  <c r="AB23" i="2"/>
  <c r="BD23" i="2"/>
  <c r="BH23" i="2" s="1"/>
  <c r="AB21" i="2"/>
  <c r="BD21" i="2"/>
  <c r="BH21" i="2" s="1"/>
  <c r="AB19" i="2"/>
  <c r="BD19" i="2"/>
  <c r="BH19" i="2" s="1"/>
  <c r="AB17" i="2"/>
  <c r="BD17" i="2"/>
  <c r="BH17" i="2" s="1"/>
  <c r="AB15" i="2"/>
  <c r="BD15" i="2"/>
  <c r="BH15" i="2" s="1"/>
  <c r="AB13" i="2"/>
  <c r="BD13" i="2"/>
  <c r="BH13" i="2" s="1"/>
  <c r="AB11" i="2"/>
  <c r="BD11" i="2"/>
  <c r="BH11" i="2" s="1"/>
  <c r="AA44" i="2"/>
  <c r="B77" i="5" s="1"/>
  <c r="BC44" i="2"/>
  <c r="BG44" i="2" s="1"/>
  <c r="AA41" i="2"/>
  <c r="B74" i="5" s="1"/>
  <c r="BC41" i="2"/>
  <c r="BG41" i="2" s="1"/>
  <c r="AA38" i="2"/>
  <c r="B71" i="5" s="1"/>
  <c r="BC38" i="2"/>
  <c r="BG38" i="2" s="1"/>
  <c r="AA36" i="2"/>
  <c r="B69" i="5" s="1"/>
  <c r="BC36" i="2"/>
  <c r="BG36" i="2" s="1"/>
  <c r="AA34" i="2"/>
  <c r="B67" i="5" s="1"/>
  <c r="BC34" i="2"/>
  <c r="BG34" i="2" s="1"/>
  <c r="AA32" i="2"/>
  <c r="B65" i="5" s="1"/>
  <c r="BC32" i="2"/>
  <c r="BG32" i="2" s="1"/>
  <c r="AA29" i="2"/>
  <c r="B62" i="5" s="1"/>
  <c r="BC29" i="2"/>
  <c r="BG29" i="2" s="1"/>
  <c r="AA27" i="2"/>
  <c r="B60" i="5" s="1"/>
  <c r="BC27" i="2"/>
  <c r="BG27" i="2" s="1"/>
  <c r="AA25" i="2"/>
  <c r="B58" i="5" s="1"/>
  <c r="BC25" i="2"/>
  <c r="BG25" i="2" s="1"/>
  <c r="AA23" i="2"/>
  <c r="B56" i="5" s="1"/>
  <c r="BC23" i="2"/>
  <c r="BG23" i="2" s="1"/>
  <c r="AA21" i="2"/>
  <c r="B54" i="5" s="1"/>
  <c r="BC21" i="2"/>
  <c r="BG21" i="2" s="1"/>
  <c r="AA19" i="2"/>
  <c r="B52" i="5" s="1"/>
  <c r="BC19" i="2"/>
  <c r="BG19" i="2" s="1"/>
  <c r="AA17" i="2"/>
  <c r="B50" i="5" s="1"/>
  <c r="BC17" i="2"/>
  <c r="BG17" i="2" s="1"/>
  <c r="AA15" i="2"/>
  <c r="B48" i="5" s="1"/>
  <c r="BC15" i="2"/>
  <c r="BG15" i="2" s="1"/>
  <c r="AA13" i="2"/>
  <c r="B46" i="5" s="1"/>
  <c r="BC13" i="2"/>
  <c r="BG13" i="2" s="1"/>
  <c r="AA11" i="2"/>
  <c r="B44" i="5" s="1"/>
  <c r="BC11" i="2"/>
  <c r="BG11" i="2" s="1"/>
  <c r="Z38" i="2"/>
  <c r="F71" i="5" s="1"/>
  <c r="H71" i="5" s="1"/>
  <c r="N71" i="5" s="1"/>
  <c r="BB38" i="2"/>
  <c r="BF38" i="2" s="1"/>
  <c r="Z34" i="2"/>
  <c r="F67" i="5" s="1"/>
  <c r="H67" i="5" s="1"/>
  <c r="N67" i="5" s="1"/>
  <c r="O67" i="5" s="1"/>
  <c r="BB34" i="2"/>
  <c r="BF34" i="2" s="1"/>
  <c r="Z27" i="2"/>
  <c r="F60" i="5" s="1"/>
  <c r="H60" i="5" s="1"/>
  <c r="N60" i="5" s="1"/>
  <c r="BB27" i="2"/>
  <c r="BF27" i="2" s="1"/>
  <c r="Z19" i="2"/>
  <c r="F52" i="5" s="1"/>
  <c r="H52" i="5" s="1"/>
  <c r="N52" i="5" s="1"/>
  <c r="BB19" i="2"/>
  <c r="BF19" i="2" s="1"/>
  <c r="Z11" i="2"/>
  <c r="F44" i="5" s="1"/>
  <c r="H44" i="5" s="1"/>
  <c r="N44" i="5" s="1"/>
  <c r="BB11" i="2"/>
  <c r="BF11" i="2" s="1"/>
  <c r="AB46" i="2"/>
  <c r="BD46" i="2"/>
  <c r="BH46" i="2" s="1"/>
  <c r="AB40" i="2"/>
  <c r="BD40" i="2"/>
  <c r="BH40" i="2" s="1"/>
  <c r="AB37" i="2"/>
  <c r="BD37" i="2"/>
  <c r="BH37" i="2" s="1"/>
  <c r="AB33" i="2"/>
  <c r="BD33" i="2"/>
  <c r="BH33" i="2" s="1"/>
  <c r="AB28" i="2"/>
  <c r="BD28" i="2"/>
  <c r="BH28" i="2" s="1"/>
  <c r="AB22" i="2"/>
  <c r="BD22" i="2"/>
  <c r="BH22" i="2" s="1"/>
  <c r="AB18" i="2"/>
  <c r="BD18" i="2"/>
  <c r="BH18" i="2" s="1"/>
  <c r="AB12" i="2"/>
  <c r="BD12" i="2"/>
  <c r="BH12" i="2" s="1"/>
  <c r="BB5" i="2"/>
  <c r="BF5" i="2" s="1"/>
  <c r="AA42" i="2"/>
  <c r="B75" i="5" s="1"/>
  <c r="BC42" i="2"/>
  <c r="BG42" i="2" s="1"/>
  <c r="AA37" i="2"/>
  <c r="B70" i="5" s="1"/>
  <c r="BC37" i="2"/>
  <c r="BG37" i="2" s="1"/>
  <c r="AA35" i="2"/>
  <c r="B68" i="5" s="1"/>
  <c r="BC35" i="2"/>
  <c r="BG35" i="2" s="1"/>
  <c r="AA30" i="2"/>
  <c r="B63" i="5" s="1"/>
  <c r="BC30" i="2"/>
  <c r="BG30" i="2" s="1"/>
  <c r="AA28" i="2"/>
  <c r="B61" i="5" s="1"/>
  <c r="BC28" i="2"/>
  <c r="BG28" i="2" s="1"/>
  <c r="AA26" i="2"/>
  <c r="B59" i="5" s="1"/>
  <c r="BC26" i="2"/>
  <c r="BG26" i="2" s="1"/>
  <c r="AA22" i="2"/>
  <c r="B55" i="5" s="1"/>
  <c r="BC22" i="2"/>
  <c r="BG22" i="2" s="1"/>
  <c r="AA20" i="2"/>
  <c r="B53" i="5" s="1"/>
  <c r="BC20" i="2"/>
  <c r="BG20" i="2" s="1"/>
  <c r="AA18" i="2"/>
  <c r="B51" i="5" s="1"/>
  <c r="BC18" i="2"/>
  <c r="BG18" i="2" s="1"/>
  <c r="AA16" i="2"/>
  <c r="B49" i="5" s="1"/>
  <c r="BC16" i="2"/>
  <c r="BG16" i="2" s="1"/>
  <c r="AA14" i="2"/>
  <c r="B47" i="5" s="1"/>
  <c r="BC14" i="2"/>
  <c r="BG14" i="2" s="1"/>
  <c r="AA12" i="2"/>
  <c r="B45" i="5" s="1"/>
  <c r="BC12" i="2"/>
  <c r="BG12" i="2" s="1"/>
  <c r="BC5" i="2"/>
  <c r="BG5" i="2" s="1"/>
  <c r="Z46" i="2"/>
  <c r="F79" i="5" s="1"/>
  <c r="H79" i="5" s="1"/>
  <c r="N79" i="5" s="1"/>
  <c r="O79" i="5" s="1"/>
  <c r="BB46" i="2"/>
  <c r="BF46" i="2" s="1"/>
  <c r="Z42" i="2"/>
  <c r="F75" i="5" s="1"/>
  <c r="H75" i="5" s="1"/>
  <c r="N75" i="5" s="1"/>
  <c r="BB42" i="2"/>
  <c r="BF42" i="2" s="1"/>
  <c r="Z40" i="2"/>
  <c r="F73" i="5" s="1"/>
  <c r="H73" i="5" s="1"/>
  <c r="N73" i="5" s="1"/>
  <c r="O73" i="5" s="1"/>
  <c r="BB40" i="2"/>
  <c r="BF40" i="2" s="1"/>
  <c r="Z37" i="2"/>
  <c r="F70" i="5" s="1"/>
  <c r="H70" i="5" s="1"/>
  <c r="N70" i="5" s="1"/>
  <c r="O70" i="5" s="1"/>
  <c r="BB37" i="2"/>
  <c r="BF37" i="2" s="1"/>
  <c r="Z35" i="2"/>
  <c r="F68" i="5" s="1"/>
  <c r="H68" i="5" s="1"/>
  <c r="N68" i="5" s="1"/>
  <c r="BB35" i="2"/>
  <c r="BF35" i="2" s="1"/>
  <c r="Z33" i="2"/>
  <c r="F66" i="5" s="1"/>
  <c r="H66" i="5" s="1"/>
  <c r="N66" i="5" s="1"/>
  <c r="BB33" i="2"/>
  <c r="BF33" i="2" s="1"/>
  <c r="Z30" i="2"/>
  <c r="F63" i="5" s="1"/>
  <c r="H63" i="5" s="1"/>
  <c r="N63" i="5" s="1"/>
  <c r="BB30" i="2"/>
  <c r="BF30" i="2" s="1"/>
  <c r="Z28" i="2"/>
  <c r="F61" i="5" s="1"/>
  <c r="H61" i="5" s="1"/>
  <c r="N61" i="5" s="1"/>
  <c r="O61" i="5" s="1"/>
  <c r="BB28" i="2"/>
  <c r="BF28" i="2" s="1"/>
  <c r="Z26" i="2"/>
  <c r="F59" i="5" s="1"/>
  <c r="H59" i="5" s="1"/>
  <c r="N59" i="5" s="1"/>
  <c r="BB26" i="2"/>
  <c r="BF26" i="2" s="1"/>
  <c r="Z24" i="2"/>
  <c r="F57" i="5" s="1"/>
  <c r="H57" i="5" s="1"/>
  <c r="N57" i="5" s="1"/>
  <c r="O57" i="5" s="1"/>
  <c r="BB24" i="2"/>
  <c r="BF24" i="2" s="1"/>
  <c r="Z22" i="2"/>
  <c r="F55" i="5" s="1"/>
  <c r="H55" i="5" s="1"/>
  <c r="N55" i="5" s="1"/>
  <c r="BB22" i="2"/>
  <c r="BF22" i="2" s="1"/>
  <c r="Z20" i="2"/>
  <c r="F53" i="5" s="1"/>
  <c r="H53" i="5" s="1"/>
  <c r="N53" i="5" s="1"/>
  <c r="O53" i="5" s="1"/>
  <c r="BB20" i="2"/>
  <c r="BF20" i="2" s="1"/>
  <c r="Z18" i="2"/>
  <c r="F51" i="5" s="1"/>
  <c r="H51" i="5" s="1"/>
  <c r="N51" i="5" s="1"/>
  <c r="O51" i="5" s="1"/>
  <c r="BB18" i="2"/>
  <c r="BF18" i="2" s="1"/>
  <c r="Z16" i="2"/>
  <c r="F49" i="5" s="1"/>
  <c r="H49" i="5" s="1"/>
  <c r="N49" i="5" s="1"/>
  <c r="BB16" i="2"/>
  <c r="BF16" i="2" s="1"/>
  <c r="Z14" i="2"/>
  <c r="F47" i="5" s="1"/>
  <c r="H47" i="5" s="1"/>
  <c r="N47" i="5" s="1"/>
  <c r="O47" i="5" s="1"/>
  <c r="BB14" i="2"/>
  <c r="BF14" i="2" s="1"/>
  <c r="Z12" i="2"/>
  <c r="F45" i="5" s="1"/>
  <c r="H45" i="5" s="1"/>
  <c r="N45" i="5" s="1"/>
  <c r="O45" i="5" s="1"/>
  <c r="BB12" i="2"/>
  <c r="BF12" i="2" s="1"/>
  <c r="Z10" i="2"/>
  <c r="F43" i="5" s="1"/>
  <c r="H43" i="5" s="1"/>
  <c r="N43" i="5" s="1"/>
  <c r="BB10" i="2"/>
  <c r="BF10" i="2" s="1"/>
  <c r="Z41" i="2"/>
  <c r="F74" i="5" s="1"/>
  <c r="H74" i="5" s="1"/>
  <c r="N74" i="5" s="1"/>
  <c r="O74" i="5" s="1"/>
  <c r="BB41" i="2"/>
  <c r="BF41" i="2" s="1"/>
  <c r="Z36" i="2"/>
  <c r="F69" i="5" s="1"/>
  <c r="H69" i="5" s="1"/>
  <c r="N69" i="5" s="1"/>
  <c r="BB36" i="2"/>
  <c r="BF36" i="2" s="1"/>
  <c r="Z29" i="2"/>
  <c r="F62" i="5" s="1"/>
  <c r="H62" i="5" s="1"/>
  <c r="N62" i="5" s="1"/>
  <c r="O62" i="5" s="1"/>
  <c r="BB29" i="2"/>
  <c r="BF29" i="2" s="1"/>
  <c r="Z25" i="2"/>
  <c r="F58" i="5" s="1"/>
  <c r="H58" i="5" s="1"/>
  <c r="N58" i="5" s="1"/>
  <c r="O58" i="5" s="1"/>
  <c r="BB25" i="2"/>
  <c r="BF25" i="2" s="1"/>
  <c r="Z21" i="2"/>
  <c r="F54" i="5" s="1"/>
  <c r="H54" i="5" s="1"/>
  <c r="N54" i="5" s="1"/>
  <c r="BB21" i="2"/>
  <c r="BF21" i="2" s="1"/>
  <c r="Z17" i="2"/>
  <c r="F50" i="5" s="1"/>
  <c r="H50" i="5" s="1"/>
  <c r="N50" i="5" s="1"/>
  <c r="BB17" i="2"/>
  <c r="BF17" i="2" s="1"/>
  <c r="Z15" i="2"/>
  <c r="F48" i="5" s="1"/>
  <c r="H48" i="5" s="1"/>
  <c r="N48" i="5" s="1"/>
  <c r="O48" i="5" s="1"/>
  <c r="BB15" i="2"/>
  <c r="BF15" i="2" s="1"/>
  <c r="AB42" i="2"/>
  <c r="BD42" i="2"/>
  <c r="BH42" i="2" s="1"/>
  <c r="AB35" i="2"/>
  <c r="BD35" i="2"/>
  <c r="BH35" i="2" s="1"/>
  <c r="AB30" i="2"/>
  <c r="BD30" i="2"/>
  <c r="BH30" i="2" s="1"/>
  <c r="AB26" i="2"/>
  <c r="BD26" i="2"/>
  <c r="BH26" i="2" s="1"/>
  <c r="AB24" i="2"/>
  <c r="BD24" i="2"/>
  <c r="BH24" i="2" s="1"/>
  <c r="AB20" i="2"/>
  <c r="BD20" i="2"/>
  <c r="BH20" i="2" s="1"/>
  <c r="AB16" i="2"/>
  <c r="BD16" i="2"/>
  <c r="BH16" i="2" s="1"/>
  <c r="AB14" i="2"/>
  <c r="BD14" i="2"/>
  <c r="BH14" i="2" s="1"/>
  <c r="AB10" i="2"/>
  <c r="BD10" i="2"/>
  <c r="BH10" i="2" s="1"/>
  <c r="AA46" i="2"/>
  <c r="B79" i="5" s="1"/>
  <c r="BC46" i="2"/>
  <c r="BG46" i="2" s="1"/>
  <c r="AA40" i="2"/>
  <c r="B73" i="5" s="1"/>
  <c r="BC40" i="2"/>
  <c r="BG40" i="2" s="1"/>
  <c r="AA33" i="2"/>
  <c r="B66" i="5" s="1"/>
  <c r="BC33" i="2"/>
  <c r="BG33" i="2" s="1"/>
  <c r="AA24" i="2"/>
  <c r="B57" i="5" s="1"/>
  <c r="BC24" i="2"/>
  <c r="BG24" i="2" s="1"/>
  <c r="AA10" i="2"/>
  <c r="B43" i="5" s="1"/>
  <c r="BC10" i="2"/>
  <c r="BG10" i="2" s="1"/>
  <c r="BD5" i="2"/>
  <c r="BH5" i="2" s="1"/>
  <c r="X96" i="2"/>
  <c r="X86" i="2"/>
  <c r="X74" i="2"/>
  <c r="X62" i="2"/>
  <c r="X48" i="2"/>
  <c r="W92" i="2"/>
  <c r="W86" i="2"/>
  <c r="W74" i="2"/>
  <c r="W62" i="2"/>
  <c r="V98" i="2"/>
  <c r="V88" i="2"/>
  <c r="V80" i="2"/>
  <c r="V68" i="2"/>
  <c r="V52" i="2"/>
  <c r="X87" i="2"/>
  <c r="X67" i="2"/>
  <c r="X98" i="2"/>
  <c r="X92" i="2"/>
  <c r="X82" i="2"/>
  <c r="X76" i="2"/>
  <c r="X70" i="2"/>
  <c r="X64" i="2"/>
  <c r="X56" i="2"/>
  <c r="W96" i="2"/>
  <c r="W88" i="2"/>
  <c r="W78" i="2"/>
  <c r="W70" i="2"/>
  <c r="W56" i="2"/>
  <c r="V96" i="2"/>
  <c r="V90" i="2"/>
  <c r="V84" i="2"/>
  <c r="V74" i="2"/>
  <c r="V64" i="2"/>
  <c r="X99" i="2"/>
  <c r="X97" i="2"/>
  <c r="X93" i="2"/>
  <c r="X91" i="2"/>
  <c r="X85" i="2"/>
  <c r="X81" i="2"/>
  <c r="X75" i="2"/>
  <c r="X71" i="2"/>
  <c r="X65" i="2"/>
  <c r="X61" i="2"/>
  <c r="X54" i="2"/>
  <c r="W99" i="2"/>
  <c r="W97" i="2"/>
  <c r="W95" i="2"/>
  <c r="W93" i="2"/>
  <c r="W91" i="2"/>
  <c r="W89" i="2"/>
  <c r="W87" i="2"/>
  <c r="W85" i="2"/>
  <c r="W83" i="2"/>
  <c r="W81" i="2"/>
  <c r="W79" i="2"/>
  <c r="W77" i="2"/>
  <c r="W75" i="2"/>
  <c r="W73" i="2"/>
  <c r="W71" i="2"/>
  <c r="W69" i="2"/>
  <c r="W67" i="2"/>
  <c r="W65" i="2"/>
  <c r="W63" i="2"/>
  <c r="W61" i="2"/>
  <c r="W58" i="2"/>
  <c r="W54" i="2"/>
  <c r="W50" i="2"/>
  <c r="X100" i="2"/>
  <c r="X88" i="2"/>
  <c r="X78" i="2"/>
  <c r="X66" i="2"/>
  <c r="W98" i="2"/>
  <c r="W82" i="2"/>
  <c r="W68" i="2"/>
  <c r="V92" i="2"/>
  <c r="V78" i="2"/>
  <c r="V62" i="2"/>
  <c r="V97" i="2"/>
  <c r="V91" i="2"/>
  <c r="V83" i="2"/>
  <c r="V75" i="2"/>
  <c r="V67" i="2"/>
  <c r="X94" i="2"/>
  <c r="X90" i="2"/>
  <c r="X84" i="2"/>
  <c r="X80" i="2"/>
  <c r="X72" i="2"/>
  <c r="X68" i="2"/>
  <c r="X60" i="2"/>
  <c r="X52" i="2"/>
  <c r="W100" i="2"/>
  <c r="W94" i="2"/>
  <c r="W90" i="2"/>
  <c r="W84" i="2"/>
  <c r="W80" i="2"/>
  <c r="W76" i="2"/>
  <c r="W72" i="2"/>
  <c r="W66" i="2"/>
  <c r="W64" i="2"/>
  <c r="W60" i="2"/>
  <c r="W52" i="2"/>
  <c r="W48" i="2"/>
  <c r="V100" i="2"/>
  <c r="V94" i="2"/>
  <c r="V86" i="2"/>
  <c r="V82" i="2"/>
  <c r="V76" i="2"/>
  <c r="V72" i="2"/>
  <c r="V70" i="2"/>
  <c r="V66" i="2"/>
  <c r="V60" i="2"/>
  <c r="V56" i="2"/>
  <c r="V48" i="2"/>
  <c r="X95" i="2"/>
  <c r="X89" i="2"/>
  <c r="X83" i="2"/>
  <c r="X79" i="2"/>
  <c r="X77" i="2"/>
  <c r="X73" i="2"/>
  <c r="X69" i="2"/>
  <c r="X63" i="2"/>
  <c r="X58" i="2"/>
  <c r="X50" i="2"/>
  <c r="V99" i="2"/>
  <c r="V95" i="2"/>
  <c r="V93" i="2"/>
  <c r="V89" i="2"/>
  <c r="V87" i="2"/>
  <c r="V85" i="2"/>
  <c r="V81" i="2"/>
  <c r="V79" i="2"/>
  <c r="V77" i="2"/>
  <c r="V73" i="2"/>
  <c r="V71" i="2"/>
  <c r="V69" i="2"/>
  <c r="V65" i="2"/>
  <c r="V63" i="2"/>
  <c r="V61" i="2"/>
  <c r="V58" i="2"/>
  <c r="V54" i="2"/>
  <c r="V50" i="2"/>
  <c r="O59" i="5" l="1"/>
  <c r="O68" i="5"/>
  <c r="O60" i="5"/>
  <c r="O56" i="5"/>
  <c r="O63" i="5"/>
  <c r="O44" i="5"/>
  <c r="O77" i="5"/>
  <c r="O50" i="5"/>
  <c r="O69" i="5"/>
  <c r="O55" i="5"/>
  <c r="O71" i="5"/>
  <c r="O81" i="5"/>
  <c r="Q33" i="5" s="1"/>
  <c r="O54" i="5"/>
  <c r="O49" i="5"/>
  <c r="O66" i="5"/>
  <c r="O75" i="5"/>
  <c r="O52" i="5"/>
  <c r="O46" i="5"/>
  <c r="G32" i="5"/>
  <c r="E41" i="8"/>
  <c r="E57" i="8"/>
  <c r="E56" i="8"/>
  <c r="E54" i="8"/>
  <c r="E43" i="8"/>
  <c r="E68" i="8"/>
  <c r="E58" i="8"/>
  <c r="E63" i="8"/>
  <c r="E45" i="8"/>
  <c r="E53" i="8"/>
  <c r="E62" i="8"/>
  <c r="E71" i="8"/>
  <c r="E42" i="8"/>
  <c r="E50" i="8"/>
  <c r="E60" i="8"/>
  <c r="E76" i="8"/>
  <c r="E49" i="8"/>
  <c r="E67" i="8"/>
  <c r="E59" i="8"/>
  <c r="E72" i="8"/>
  <c r="E35" i="8"/>
  <c r="E47" i="8"/>
  <c r="E55" i="8"/>
  <c r="E64" i="8"/>
  <c r="E74" i="8"/>
  <c r="E40" i="8"/>
  <c r="E66" i="8"/>
  <c r="E46" i="8"/>
  <c r="E51" i="8"/>
  <c r="E48" i="8"/>
  <c r="E70" i="8"/>
  <c r="E44" i="8"/>
  <c r="E52" i="8"/>
  <c r="E65" i="8"/>
  <c r="C40" i="8"/>
  <c r="C76" i="8"/>
  <c r="C51" i="8"/>
  <c r="C71" i="8"/>
  <c r="C46" i="8"/>
  <c r="C54" i="8"/>
  <c r="C63" i="8"/>
  <c r="C72" i="8"/>
  <c r="C49" i="8"/>
  <c r="C43" i="8"/>
  <c r="C55" i="8"/>
  <c r="C65" i="8"/>
  <c r="C45" i="8"/>
  <c r="C42" i="8"/>
  <c r="C50" i="8"/>
  <c r="C58" i="8"/>
  <c r="C67" i="8"/>
  <c r="C64" i="8"/>
  <c r="C62" i="8"/>
  <c r="C35" i="8"/>
  <c r="C48" i="8"/>
  <c r="C57" i="8"/>
  <c r="C47" i="8"/>
  <c r="C66" i="8"/>
  <c r="C52" i="8"/>
  <c r="C60" i="8"/>
  <c r="C68" i="8"/>
  <c r="C74" i="8"/>
  <c r="C56" i="8"/>
  <c r="C53" i="8"/>
  <c r="C59" i="8"/>
  <c r="C44" i="8"/>
  <c r="C70" i="8"/>
  <c r="C41" i="8"/>
  <c r="Z87" i="2"/>
  <c r="F120" i="5" s="1"/>
  <c r="Z72" i="2"/>
  <c r="F105" i="5" s="1"/>
  <c r="AB68" i="2"/>
  <c r="AA98" i="2"/>
  <c r="B131" i="5" s="1"/>
  <c r="AA77" i="2"/>
  <c r="B110" i="5" s="1"/>
  <c r="AA93" i="2"/>
  <c r="B126" i="5" s="1"/>
  <c r="Z74" i="2"/>
  <c r="F107" i="5" s="1"/>
  <c r="AB67" i="2"/>
  <c r="Z89" i="2"/>
  <c r="F122" i="5" s="1"/>
  <c r="AA64" i="2"/>
  <c r="B97" i="5" s="1"/>
  <c r="AB94" i="2"/>
  <c r="Z91" i="2"/>
  <c r="F124" i="5" s="1"/>
  <c r="AB66" i="2"/>
  <c r="AA71" i="2"/>
  <c r="B104" i="5" s="1"/>
  <c r="AA79" i="2"/>
  <c r="B112" i="5" s="1"/>
  <c r="AA87" i="2"/>
  <c r="B120" i="5" s="1"/>
  <c r="AA95" i="2"/>
  <c r="B128" i="5" s="1"/>
  <c r="AB61" i="2"/>
  <c r="AB81" i="2"/>
  <c r="AB97" i="2"/>
  <c r="Z84" i="2"/>
  <c r="F117" i="5" s="1"/>
  <c r="AA70" i="2"/>
  <c r="B103" i="5" s="1"/>
  <c r="AB56" i="2"/>
  <c r="AB82" i="2"/>
  <c r="AB87" i="2"/>
  <c r="Z88" i="2"/>
  <c r="F121" i="5" s="1"/>
  <c r="AA86" i="2"/>
  <c r="B119" i="5" s="1"/>
  <c r="AB74" i="2"/>
  <c r="Z54" i="2"/>
  <c r="F87" i="5" s="1"/>
  <c r="Z99" i="2"/>
  <c r="F132" i="5" s="1"/>
  <c r="Z56" i="2"/>
  <c r="F89" i="5" s="1"/>
  <c r="AA94" i="2"/>
  <c r="B127" i="5" s="1"/>
  <c r="Z78" i="2"/>
  <c r="F111" i="5" s="1"/>
  <c r="AA61" i="2"/>
  <c r="B94" i="5" s="1"/>
  <c r="AB75" i="2"/>
  <c r="AA96" i="2"/>
  <c r="B129" i="5" s="1"/>
  <c r="Z80" i="2"/>
  <c r="F113" i="5" s="1"/>
  <c r="Z58" i="2"/>
  <c r="F91" i="5" s="1"/>
  <c r="AB73" i="2"/>
  <c r="Z76" i="2"/>
  <c r="F109" i="5" s="1"/>
  <c r="AA80" i="2"/>
  <c r="B113" i="5" s="1"/>
  <c r="Z92" i="2"/>
  <c r="F125" i="5" s="1"/>
  <c r="Z65" i="2"/>
  <c r="F98" i="5" s="1"/>
  <c r="AB69" i="2"/>
  <c r="AA60" i="2"/>
  <c r="B93" i="5" s="1"/>
  <c r="AB90" i="2"/>
  <c r="AB100" i="2"/>
  <c r="AA85" i="2"/>
  <c r="B118" i="5" s="1"/>
  <c r="AB54" i="2"/>
  <c r="AA56" i="2"/>
  <c r="B89" i="5" s="1"/>
  <c r="AA74" i="2"/>
  <c r="B107" i="5" s="1"/>
  <c r="Z69" i="2"/>
  <c r="F102" i="5" s="1"/>
  <c r="AB50" i="2"/>
  <c r="Z60" i="2"/>
  <c r="F93" i="5" s="1"/>
  <c r="AA100" i="2"/>
  <c r="B133" i="5" s="1"/>
  <c r="AA63" i="2"/>
  <c r="B96" i="5" s="1"/>
  <c r="Z71" i="2"/>
  <c r="F104" i="5" s="1"/>
  <c r="AB77" i="2"/>
  <c r="AA48" i="2"/>
  <c r="B81" i="5" s="1"/>
  <c r="AB80" i="2"/>
  <c r="Z97" i="2"/>
  <c r="F130" i="5" s="1"/>
  <c r="AA68" i="2"/>
  <c r="B101" i="5" s="1"/>
  <c r="AA54" i="2"/>
  <c r="B87" i="5" s="1"/>
  <c r="AA65" i="2"/>
  <c r="B98" i="5" s="1"/>
  <c r="AA73" i="2"/>
  <c r="B106" i="5" s="1"/>
  <c r="AA81" i="2"/>
  <c r="B114" i="5" s="1"/>
  <c r="AA89" i="2"/>
  <c r="B122" i="5" s="1"/>
  <c r="AA97" i="2"/>
  <c r="B130" i="5" s="1"/>
  <c r="AB65" i="2"/>
  <c r="AB85" i="2"/>
  <c r="AB99" i="2"/>
  <c r="Z90" i="2"/>
  <c r="F123" i="5" s="1"/>
  <c r="AA78" i="2"/>
  <c r="B111" i="5" s="1"/>
  <c r="AB64" i="2"/>
  <c r="AB92" i="2"/>
  <c r="Z52" i="2"/>
  <c r="F85" i="5" s="1"/>
  <c r="Z98" i="2"/>
  <c r="F131" i="5" s="1"/>
  <c r="AA92" i="2"/>
  <c r="B125" i="5" s="1"/>
  <c r="AB86" i="2"/>
  <c r="Z77" i="2"/>
  <c r="F110" i="5" s="1"/>
  <c r="AB83" i="2"/>
  <c r="Z94" i="2"/>
  <c r="F127" i="5" s="1"/>
  <c r="AA76" i="2"/>
  <c r="B109" i="5" s="1"/>
  <c r="Z83" i="2"/>
  <c r="F116" i="5" s="1"/>
  <c r="AA69" i="2"/>
  <c r="B102" i="5" s="1"/>
  <c r="AB93" i="2"/>
  <c r="AB76" i="2"/>
  <c r="AB62" i="2"/>
  <c r="Z79" i="2"/>
  <c r="F112" i="5" s="1"/>
  <c r="AB89" i="2"/>
  <c r="Z100" i="2"/>
  <c r="F133" i="5" s="1"/>
  <c r="AB72" i="2"/>
  <c r="AA50" i="2"/>
  <c r="B83" i="5" s="1"/>
  <c r="Z61" i="2"/>
  <c r="F94" i="5" s="1"/>
  <c r="Z81" i="2"/>
  <c r="F114" i="5" s="1"/>
  <c r="Z93" i="2"/>
  <c r="F126" i="5" s="1"/>
  <c r="AB58" i="2"/>
  <c r="AB95" i="2"/>
  <c r="Z66" i="2"/>
  <c r="F99" i="5" s="1"/>
  <c r="Z82" i="2"/>
  <c r="F115" i="5" s="1"/>
  <c r="AA66" i="2"/>
  <c r="B99" i="5" s="1"/>
  <c r="AA84" i="2"/>
  <c r="B117" i="5" s="1"/>
  <c r="AB52" i="2"/>
  <c r="Z67" i="2"/>
  <c r="F100" i="5" s="1"/>
  <c r="AB78" i="2"/>
  <c r="Z50" i="2"/>
  <c r="F83" i="5" s="1"/>
  <c r="Z63" i="2"/>
  <c r="F96" i="5" s="1"/>
  <c r="Z73" i="2"/>
  <c r="F106" i="5" s="1"/>
  <c r="Z85" i="2"/>
  <c r="F118" i="5" s="1"/>
  <c r="Z95" i="2"/>
  <c r="F128" i="5" s="1"/>
  <c r="AB63" i="2"/>
  <c r="AB79" i="2"/>
  <c r="Z48" i="2"/>
  <c r="F81" i="5" s="1"/>
  <c r="Z70" i="2"/>
  <c r="F103" i="5" s="1"/>
  <c r="Z86" i="2"/>
  <c r="F119" i="5" s="1"/>
  <c r="AA52" i="2"/>
  <c r="B85" i="5" s="1"/>
  <c r="AA72" i="2"/>
  <c r="B105" i="5" s="1"/>
  <c r="AA90" i="2"/>
  <c r="B123" i="5" s="1"/>
  <c r="AB60" i="2"/>
  <c r="AB84" i="2"/>
  <c r="Z75" i="2"/>
  <c r="F108" i="5" s="1"/>
  <c r="Z62" i="2"/>
  <c r="F95" i="5" s="1"/>
  <c r="AA82" i="2"/>
  <c r="B115" i="5" s="1"/>
  <c r="AB88" i="2"/>
  <c r="AA58" i="2"/>
  <c r="B91" i="5" s="1"/>
  <c r="AA67" i="2"/>
  <c r="B100" i="5" s="1"/>
  <c r="AA75" i="2"/>
  <c r="B108" i="5" s="1"/>
  <c r="AA83" i="2"/>
  <c r="B116" i="5" s="1"/>
  <c r="AA91" i="2"/>
  <c r="B124" i="5" s="1"/>
  <c r="AA99" i="2"/>
  <c r="B132" i="5" s="1"/>
  <c r="AB71" i="2"/>
  <c r="AB91" i="2"/>
  <c r="Z64" i="2"/>
  <c r="F97" i="5" s="1"/>
  <c r="Z96" i="2"/>
  <c r="F129" i="5" s="1"/>
  <c r="AA88" i="2"/>
  <c r="B121" i="5" s="1"/>
  <c r="AB70" i="2"/>
  <c r="AB98" i="2"/>
  <c r="Z68" i="2"/>
  <c r="F101" i="5" s="1"/>
  <c r="AA62" i="2"/>
  <c r="B95" i="5" s="1"/>
  <c r="AB48" i="2"/>
  <c r="AB96" i="2"/>
</calcChain>
</file>

<file path=xl/sharedStrings.xml><?xml version="1.0" encoding="utf-8"?>
<sst xmlns="http://schemas.openxmlformats.org/spreadsheetml/2006/main" count="345" uniqueCount="159">
  <si>
    <t>Year</t>
  </si>
  <si>
    <t>Top 0.1%</t>
  </si>
  <si>
    <t>Top 0.01%</t>
  </si>
  <si>
    <t>Top 0.5%</t>
  </si>
  <si>
    <t>Top 1%</t>
  </si>
  <si>
    <t>Giving / Income of Top Income Groups</t>
  </si>
  <si>
    <t>http://www.nicolasduquette.com/research.html</t>
  </si>
  <si>
    <t>Income Shares (exluding cap gains)</t>
  </si>
  <si>
    <t>Income (excluding cap gains, $millions)</t>
  </si>
  <si>
    <t>Total</t>
  </si>
  <si>
    <t>Inflation Index</t>
  </si>
  <si>
    <t>CPI-U-RS</t>
  </si>
  <si>
    <t>N. of Tax Units (thousands)</t>
  </si>
  <si>
    <t>Giving per tax unit ($2015)</t>
  </si>
  <si>
    <t>Top 10%</t>
  </si>
  <si>
    <t>Top 5%</t>
  </si>
  <si>
    <t>(millions $)</t>
  </si>
  <si>
    <t>Income</t>
  </si>
  <si>
    <t>National Income</t>
  </si>
  <si>
    <t>Giving (millions $2015, by tax units)</t>
  </si>
  <si>
    <t>Giving ($millions, by indivs.)</t>
  </si>
  <si>
    <t>Giving/AS pre-tax income</t>
  </si>
  <si>
    <t>Duquette series</t>
  </si>
  <si>
    <t>Piketty and Saez (2003 and updates), from Tables A0 and A1 of online spreadsheet</t>
  </si>
  <si>
    <t>Estimates using Auten and Splinter (2018) pre-tax national income</t>
  </si>
  <si>
    <t>Giving/PSZ pre-tax income</t>
  </si>
  <si>
    <t>Estimates using Piketty, Saez, and Zucman (2018) pre-tax income</t>
  </si>
  <si>
    <t>Pre-tax National Income (Auten and Splinter, 2018),                             grouped by individuals</t>
  </si>
  <si>
    <t>Giving/Partial after-tax income</t>
  </si>
  <si>
    <t>Estimates using Auten and Splinter (2018) partial after-tax income</t>
  </si>
  <si>
    <t>Partial After-tax Income (Auten and Splinter, 2018), grouped by individuals</t>
  </si>
  <si>
    <t>Change between two 26-year periods</t>
  </si>
  <si>
    <t>Income Shares</t>
  </si>
  <si>
    <t>Pre-tax National Income Shares (Piketty, Saez, and Zucman, 2018), grouped by aduls</t>
  </si>
  <si>
    <t>Giving ($millions, by adults since 1960)</t>
  </si>
  <si>
    <t>1960-1980 average</t>
  </si>
  <si>
    <t>1995-2015 average</t>
  </si>
  <si>
    <t>Notes: Partial after-tax  income is pre-tax/after-transfer income from Auten and Splinter (2018) less taxes other than income taxes because contributions are only deductible for income taxes.</t>
  </si>
  <si>
    <t>S&amp;P 500</t>
  </si>
  <si>
    <t>Notes:</t>
  </si>
  <si>
    <t>(nominal)</t>
  </si>
  <si>
    <t>Splinter calculations using Duquette (2018) and Piketty and Saez (2003) data</t>
  </si>
  <si>
    <t>Source: S&amp;P 500 values for Jan. 1 of following year and from http://www.multpl.com/s-p-500-historical-prices/table/by-year (accessed Oct. 2, 2018)</t>
  </si>
  <si>
    <t>Public</t>
  </si>
  <si>
    <t>Confid.</t>
  </si>
  <si>
    <t>Pub/Conf.</t>
  </si>
  <si>
    <t>http://davidsplinter.com/AutenSplinter-IncomeIneq.xlsx</t>
  </si>
  <si>
    <t>Auten and Splinter (2018) series from the file version August 23, 2018.</t>
  </si>
  <si>
    <t>Duquette (2018) series are from the file dated August 9, 2018.</t>
  </si>
  <si>
    <t>Piketty, Saez, and Zucman (2018) series from the file version November 2017.</t>
  </si>
  <si>
    <t>http://gabriel-zucman.eu/files/PSZ2018DataAppendix.pdf</t>
  </si>
  <si>
    <t>Data Sources:</t>
  </si>
  <si>
    <t xml:space="preserve">http://davidsplinter.com/Auten_Splinter_SAScode.txt </t>
  </si>
  <si>
    <t>New estimates use confidential IRS tax return files (INSOLE files) and the SAS code of Auten and Splinter (2018)</t>
  </si>
  <si>
    <t>Contributions/Income</t>
  </si>
  <si>
    <t>Fiscal Inc.</t>
  </si>
  <si>
    <t>PSZ inc.</t>
  </si>
  <si>
    <t>Partial after-tax  income is pre-tax/after-transfer income from Auten and Splinter (2018) less taxes other than income taxes because contributions are only deductible for income taxes.</t>
  </si>
  <si>
    <t>AS income</t>
  </si>
  <si>
    <t>Partial AT</t>
  </si>
  <si>
    <t>Top Income Share</t>
  </si>
  <si>
    <t>Constant</t>
  </si>
  <si>
    <t>Observations</t>
  </si>
  <si>
    <t>(1)</t>
  </si>
  <si>
    <t>(2)</t>
  </si>
  <si>
    <t>(3)</t>
  </si>
  <si>
    <t>(thousands)</t>
  </si>
  <si>
    <t>N. indiduals (Auten and Splinter, 2018)</t>
  </si>
  <si>
    <t>(4)</t>
  </si>
  <si>
    <t>(5)</t>
  </si>
  <si>
    <t>(6)</t>
  </si>
  <si>
    <t>(7)</t>
  </si>
  <si>
    <t>(8)</t>
  </si>
  <si>
    <t>(9)</t>
  </si>
  <si>
    <t>(10)</t>
  </si>
  <si>
    <t>(11)</t>
  </si>
  <si>
    <t>(12)</t>
  </si>
  <si>
    <t>1.145**</t>
  </si>
  <si>
    <t>1.034**</t>
  </si>
  <si>
    <t>0.862**</t>
  </si>
  <si>
    <t>(0.179)</t>
  </si>
  <si>
    <t>(0.128)</t>
  </si>
  <si>
    <t>(0.142)</t>
  </si>
  <si>
    <t>-1.422**</t>
  </si>
  <si>
    <t>-2.306**</t>
  </si>
  <si>
    <t>-2.983**</t>
  </si>
  <si>
    <t>(0.272)</t>
  </si>
  <si>
    <t>(0.363)</t>
  </si>
  <si>
    <t>(0.512)</t>
  </si>
  <si>
    <t>-1.857**</t>
  </si>
  <si>
    <t>-1.220**</t>
  </si>
  <si>
    <t>-0.978+</t>
  </si>
  <si>
    <t>(0.384)</t>
  </si>
  <si>
    <t>(0.397)</t>
  </si>
  <si>
    <t>(0.571)</t>
  </si>
  <si>
    <t>0.871**</t>
  </si>
  <si>
    <t>0.663**</t>
  </si>
  <si>
    <t>0.545*</t>
  </si>
  <si>
    <t>(0.211)</t>
  </si>
  <si>
    <t>(0.188)</t>
  </si>
  <si>
    <t>(0.207)</t>
  </si>
  <si>
    <t>-0.797*</t>
  </si>
  <si>
    <t>-1.396**</t>
  </si>
  <si>
    <t>-1.381*</t>
  </si>
  <si>
    <t>(0.294)</t>
  </si>
  <si>
    <t>(0.398)</t>
  </si>
  <si>
    <t>(0.502)</t>
  </si>
  <si>
    <t>-6.775**</t>
  </si>
  <si>
    <t>-5.628**</t>
  </si>
  <si>
    <t>-4.694**</t>
  </si>
  <si>
    <t>(0.570)</t>
  </si>
  <si>
    <t>(0.392)</t>
  </si>
  <si>
    <t>(0.275)</t>
  </si>
  <si>
    <t>PSZ: 1917–2014</t>
  </si>
  <si>
    <t>PSZ: 1960–2014</t>
  </si>
  <si>
    <t>AS: 1988–2015</t>
  </si>
  <si>
    <t>PSZ income: 1917–2014</t>
  </si>
  <si>
    <t>PSZ income: 1960–2014</t>
  </si>
  <si>
    <t>PSZ income: 1988–2015</t>
  </si>
  <si>
    <t>AS income: 1988–2015</t>
  </si>
  <si>
    <t>PSZ: 1988–2014</t>
  </si>
  <si>
    <t>Correlation of top 0.01% and S&amp;P, 1917-2016:</t>
  </si>
  <si>
    <t>Charitable deduction tax expenditure was estimated as $27.7 billion for the top one percent of tax units in 2017.</t>
  </si>
  <si>
    <t>Tax Price of Giving</t>
  </si>
  <si>
    <t>Tax Price     of Giving</t>
  </si>
  <si>
    <t xml:space="preserve">Comment: Inequality and Philanthropy:
High-Income Giving in the United States 1917–2012
</t>
  </si>
  <si>
    <t>David Splinter</t>
  </si>
  <si>
    <t>Tables</t>
  </si>
  <si>
    <t>Figures</t>
  </si>
  <si>
    <t>Table 1: Regressions of Contribution Rates/Income for various income definitions and years</t>
  </si>
  <si>
    <r>
      <t>Notes</t>
    </r>
    <r>
      <rPr>
        <sz val="10"/>
        <rFont val="Times New Roman"/>
        <family val="1"/>
      </rPr>
      <t>: +p&lt;0.1, *p&lt;0.05, **p&lt;0.01. The dependent variable is charitable contributions as a share of income for each pre-tax income definition and top group. These estimates are an extension of Duquette (2018) Table 1 and also use the Prais-Winsten correction to adjust coefficients for serial correlation and show robust standard errors in parentheses. Years of missing data are 1943, 1951, 1955, 1957, 1959, 1961, 1963, 1965, 1967, 1969, and 1971.</t>
    </r>
  </si>
  <si>
    <r>
      <t>Sources</t>
    </r>
    <r>
      <rPr>
        <sz val="10"/>
        <rFont val="Times New Roman"/>
        <family val="1"/>
      </rPr>
      <t>: Duquette (forthcoming) online data, which includes newly assembled data and estimates from Piketty and Saez (2003 and updates), Piketty, Saez, and Zucman (2018), Auten and Splinter (2018), and author’s calculations using tax return data.</t>
    </r>
  </si>
  <si>
    <t>Figure 1: Charitable contributions as a share of income: fiscal income vs. PSZ income</t>
  </si>
  <si>
    <r>
      <t>Notes</t>
    </r>
    <r>
      <rPr>
        <sz val="10"/>
        <rFont val="Times New Roman"/>
        <family val="1"/>
      </rPr>
      <t>: Fiscal income is pre-tax market income reported on individual tax returns excluding capital gains. Piketty, Saez, and Zucman (2018, PSZ) national income is also a pre-tax measure of income. Years of missing data are interpolated for 1943, 1951, 1955, 1957, 1959, 1961, 1963, 1965, 1967, 1969, and 1971.</t>
    </r>
  </si>
  <si>
    <r>
      <t>Sources</t>
    </r>
    <r>
      <rPr>
        <sz val="10"/>
        <rFont val="Times New Roman"/>
        <family val="1"/>
      </rPr>
      <t>: Duquette (forthcoming) online data, which includes newly assembled data and estimates from Piketty and Saez (2003 and updates), Piketty, Saez, and Zucman (2018), and author’s calculations using tax return data.</t>
    </r>
  </si>
  <si>
    <t>Figure 2: Charitable contributions as a share of income: fiscal income vs. AS income</t>
  </si>
  <si>
    <r>
      <t>Notes</t>
    </r>
    <r>
      <rPr>
        <sz val="10"/>
        <rFont val="Times New Roman"/>
        <family val="1"/>
      </rPr>
      <t>: Fiscal income is pre-tax market income reported on individual tax returns excluding capital gains. Auten and Splinter (2018, AS) national income is also a pre-tax measure of income. Years of missing data are interpolated for 1961, 1963, 1965, 1967, 1969, and 1971.</t>
    </r>
  </si>
  <si>
    <r>
      <t>Sources</t>
    </r>
    <r>
      <rPr>
        <sz val="10"/>
        <rFont val="Times New Roman"/>
        <family val="1"/>
      </rPr>
      <t>: Duquette (forthcoming) online data, which includes newly assembled data and estimates from Piketty and Saez (2003 and updates), Auten and Splinter (2018), and author’s calculations using tax return data.</t>
    </r>
  </si>
  <si>
    <t>Figure 3: Charitable contributions per tax unit and S&amp;P 500 values (2015 dollars)</t>
  </si>
  <si>
    <r>
      <t>Notes</t>
    </r>
    <r>
      <rPr>
        <sz val="10"/>
        <rFont val="Times New Roman"/>
        <family val="1"/>
      </rPr>
      <t>: Income groups are set by fiscal income and tax units. S&amp;P 500 values are for Jan. 1 of the following year. Years of missing data are interpolated for 1943, 1951, 1955, 1957, 1959, 1961, 1963, 1965, 1967, 1969, and 1971.</t>
    </r>
  </si>
  <si>
    <r>
      <t>Sources</t>
    </r>
    <r>
      <rPr>
        <sz val="10"/>
        <rFont val="Times New Roman"/>
        <family val="1"/>
      </rPr>
      <t>: Duquette (forthcoming) online data, which includes newly assembled data and estimates from Piketty and Saez (2003 and updates), www.multpl.com, and author’s calculations using tax return data.</t>
    </r>
  </si>
  <si>
    <t>Charitable contributions per tax unit and S&amp;P 500 values (2015 dollars)</t>
  </si>
  <si>
    <t>Table A1: Top incomes and income shares</t>
  </si>
  <si>
    <t>index</t>
  </si>
  <si>
    <t>Regressions of Contribution Rates/Income for various income definitions and years</t>
  </si>
  <si>
    <t>Charitable contributions as a share of income: fiscal income vs. PSZ income</t>
  </si>
  <si>
    <t>Charitable contributions as a share of income: fiscal income vs. AS income</t>
  </si>
  <si>
    <t>Notes: Years of missing data are interpolated: 1961, 1963, 1965, 1967, 1969, 1971.</t>
  </si>
  <si>
    <t>Notes: by tax units before 1960 and by adults after 1960.</t>
  </si>
  <si>
    <t>Splinter calculations using IRS tax data (confidential since 1979)</t>
  </si>
  <si>
    <t>($2015)</t>
  </si>
  <si>
    <t>S&amp;P 500 ($2015)</t>
  </si>
  <si>
    <t>log</t>
  </si>
  <si>
    <t>Top 0.01% cont ($2015)</t>
  </si>
  <si>
    <t>Contributions per tax unit ($2015)</t>
  </si>
  <si>
    <t xml:space="preserve">logΔ </t>
  </si>
  <si>
    <t>Correl. of logΔ top 0.01% &amp; logΔ S&amp;P, 1960-2016:</t>
  </si>
  <si>
    <t>Correlation of top 0.01% and S&amp;P, 1960-2016:</t>
  </si>
  <si>
    <t>Top 0.1% excl. top 0.01%</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</si>
</sst>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_);[Red]\(&quot;$&quot;#,##0\)"/>
    <numFmt numFmtId="43" formatCode="_(* #,##0.00_);_(* \(#,##0.00\);_(* &quot;-&quot;??_);_(@_)"/>
    <numFmt numFmtId="164" formatCode="0.0"/>
    <numFmt numFmtId="165" formatCode="0.000"/>
    <numFmt numFmtId="166" formatCode="#,##0.0"/>
    <numFmt numFmtId="167" formatCode="0.000000"/>
    <numFmt numFmtId="168" formatCode="\$#,##0\ ;\(\$#,##0\)"/>
    <numFmt numFmtId="169" formatCode="0.00000"/>
  </numFmts>
  <fonts count="29">
    <font>
      <sz val="11"/>
      <name val="Calibri"/>
    </font>
    <font>
      <sz val="11"/>
      <name val="Calibri"/>
      <family val="2"/>
    </font>
    <font>
      <u/>
      <sz val="11"/>
      <color theme="10"/>
      <name val="Calibri"/>
      <family val="2"/>
    </font>
    <font>
      <sz val="10"/>
      <name val="Arial"/>
      <family val="2"/>
    </font>
    <font>
      <sz val="11"/>
      <name val="Calibri"/>
      <family val="2"/>
      <scheme val="minor"/>
    </font>
    <font>
      <b/>
      <sz val="11"/>
      <name val="Calibri"/>
      <family val="2"/>
      <scheme val="minor"/>
    </font>
    <font>
      <sz val="8"/>
      <name val="Arial"/>
      <family val="2"/>
    </font>
    <font>
      <sz val="8"/>
      <color theme="1"/>
      <name val="Arial"/>
      <family val="2"/>
    </font>
    <font>
      <sz val="12"/>
      <color theme="1"/>
      <name val="Arial"/>
      <family val="2"/>
    </font>
    <font>
      <sz val="10"/>
      <name val="Calibri"/>
      <family val="2"/>
    </font>
    <font>
      <sz val="9"/>
      <color theme="1"/>
      <name val="Arial"/>
      <family val="2"/>
    </font>
    <font>
      <sz val="9"/>
      <name val="Calibri"/>
      <family val="2"/>
    </font>
    <font>
      <sz val="11"/>
      <name val="Calibri"/>
      <family val="2"/>
    </font>
    <font>
      <sz val="12"/>
      <color indexed="24"/>
      <name val="Arial"/>
      <family val="2"/>
    </font>
    <font>
      <b/>
      <sz val="8"/>
      <color indexed="24"/>
      <name val="Times New Roman"/>
      <family val="1"/>
    </font>
    <font>
      <sz val="8"/>
      <color indexed="24"/>
      <name val="Times New Roman"/>
      <family val="1"/>
    </font>
    <font>
      <sz val="7"/>
      <name val="Helv"/>
    </font>
    <font>
      <b/>
      <sz val="11"/>
      <name val="Calibri"/>
      <family val="2"/>
    </font>
    <font>
      <b/>
      <sz val="11"/>
      <name val="Times New Roman"/>
      <family val="1"/>
    </font>
    <font>
      <sz val="11"/>
      <name val="Times New Roman"/>
      <family val="1"/>
    </font>
    <font>
      <b/>
      <sz val="14"/>
      <name val="Times New Roman"/>
      <family val="1"/>
    </font>
    <font>
      <sz val="14"/>
      <name val="Times New Roman"/>
      <family val="1"/>
    </font>
    <font>
      <u/>
      <sz val="14"/>
      <color theme="10"/>
      <name val="Times New Roman"/>
      <family val="1"/>
    </font>
    <font>
      <b/>
      <sz val="10"/>
      <name val="Times New Roman"/>
      <family val="1"/>
    </font>
    <font>
      <sz val="10"/>
      <name val="Times New Roman"/>
      <family val="1"/>
    </font>
    <font>
      <b/>
      <sz val="10"/>
      <name val="Calibri"/>
      <family val="2"/>
    </font>
    <font>
      <i/>
      <sz val="10"/>
      <name val="Times New Roman"/>
      <family val="1"/>
    </font>
    <font>
      <b/>
      <sz val="12"/>
      <name val="Times New Roman"/>
      <family val="1"/>
    </font>
    <font>
      <u/>
      <sz val="14"/>
      <color theme="10"/>
      <name val="Calibri"/>
      <family val="2"/>
    </font>
  </fonts>
  <fills count="6">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7" tint="0.79998168889431442"/>
        <bgColor indexed="64"/>
      </patternFill>
    </fill>
  </fills>
  <borders count="6">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bottom/>
      <diagonal/>
    </border>
    <border>
      <left/>
      <right/>
      <top style="double">
        <color indexed="64"/>
      </top>
      <bottom/>
      <diagonal/>
    </border>
  </borders>
  <cellStyleXfs count="18">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0"/>
    <xf numFmtId="9" fontId="8" fillId="0" borderId="0" applyFont="0" applyFill="0" applyBorder="0" applyAlignment="0" applyProtection="0"/>
    <xf numFmtId="0" fontId="8" fillId="0" borderId="0"/>
    <xf numFmtId="0" fontId="3" fillId="0" borderId="0"/>
    <xf numFmtId="43" fontId="12" fillId="0" borderId="0" applyFont="0" applyFill="0" applyBorder="0" applyAlignment="0" applyProtection="0"/>
    <xf numFmtId="0" fontId="13" fillId="0" borderId="0"/>
    <xf numFmtId="0" fontId="13" fillId="0" borderId="0" applyFont="0" applyFill="0" applyBorder="0" applyAlignment="0" applyProtection="0"/>
    <xf numFmtId="0" fontId="14" fillId="0" borderId="0" applyNumberFormat="0" applyFill="0" applyBorder="0" applyAlignment="0" applyProtection="0"/>
    <xf numFmtId="0" fontId="15" fillId="0" borderId="0" applyNumberFormat="0" applyFill="0" applyBorder="0" applyAlignment="0" applyProtection="0"/>
    <xf numFmtId="3" fontId="13" fillId="0" borderId="0" applyFont="0" applyFill="0" applyBorder="0" applyAlignment="0" applyProtection="0"/>
    <xf numFmtId="168" fontId="13" fillId="0" borderId="0" applyFont="0" applyFill="0" applyBorder="0" applyAlignment="0" applyProtection="0"/>
    <xf numFmtId="0" fontId="16" fillId="0" borderId="4">
      <alignment horizontal="center"/>
    </xf>
    <xf numFmtId="2" fontId="13" fillId="0" borderId="0" applyFont="0" applyFill="0" applyBorder="0" applyAlignment="0" applyProtection="0"/>
    <xf numFmtId="0" fontId="8" fillId="0" borderId="0"/>
    <xf numFmtId="9" fontId="8" fillId="0" borderId="0" applyFont="0" applyFill="0" applyBorder="0" applyAlignment="0" applyProtection="0"/>
  </cellStyleXfs>
  <cellXfs count="129">
    <xf numFmtId="0" fontId="0" fillId="0" borderId="0" xfId="0"/>
    <xf numFmtId="0" fontId="4" fillId="0" borderId="0" xfId="0" applyFont="1" applyAlignment="1">
      <alignment horizontal="center"/>
    </xf>
    <xf numFmtId="0" fontId="4" fillId="0" borderId="0" xfId="0" applyFont="1"/>
    <xf numFmtId="0" fontId="5" fillId="0" borderId="0" xfId="0" applyFont="1" applyAlignment="1">
      <alignment horizontal="center"/>
    </xf>
    <xf numFmtId="0" fontId="5" fillId="0" borderId="0" xfId="0" applyFont="1"/>
    <xf numFmtId="10" fontId="4" fillId="0" borderId="0" xfId="1" applyNumberFormat="1" applyFont="1" applyAlignment="1">
      <alignment horizontal="center"/>
    </xf>
    <xf numFmtId="3" fontId="4" fillId="0" borderId="0" xfId="3" applyNumberFormat="1" applyFont="1" applyAlignment="1">
      <alignment horizontal="center"/>
    </xf>
    <xf numFmtId="2" fontId="4" fillId="0" borderId="0" xfId="0" applyNumberFormat="1" applyFont="1" applyAlignment="1">
      <alignment horizontal="center"/>
    </xf>
    <xf numFmtId="3" fontId="4" fillId="0" borderId="0" xfId="0" applyNumberFormat="1" applyFont="1" applyAlignment="1">
      <alignment horizontal="center"/>
    </xf>
    <xf numFmtId="3" fontId="4" fillId="0" borderId="0" xfId="3" applyNumberFormat="1" applyFont="1" applyFill="1" applyAlignment="1"/>
    <xf numFmtId="164" fontId="4" fillId="0" borderId="0" xfId="0" applyNumberFormat="1" applyFont="1" applyAlignment="1">
      <alignment horizontal="center"/>
    </xf>
    <xf numFmtId="0" fontId="4" fillId="0" borderId="1" xfId="0" applyFont="1" applyBorder="1" applyAlignment="1">
      <alignment horizontal="center"/>
    </xf>
    <xf numFmtId="0" fontId="5" fillId="0" borderId="1" xfId="0" applyFont="1" applyBorder="1"/>
    <xf numFmtId="0" fontId="5" fillId="0" borderId="1" xfId="0" applyFont="1" applyBorder="1" applyAlignment="1">
      <alignment horizontal="center"/>
    </xf>
    <xf numFmtId="0" fontId="4" fillId="0" borderId="1" xfId="0" applyFont="1" applyBorder="1"/>
    <xf numFmtId="0" fontId="4" fillId="0" borderId="0" xfId="0" applyFont="1" applyFill="1" applyAlignment="1">
      <alignment horizontal="center"/>
    </xf>
    <xf numFmtId="10" fontId="4" fillId="0" borderId="0" xfId="1" applyNumberFormat="1" applyFont="1" applyFill="1" applyAlignment="1">
      <alignment horizontal="center"/>
    </xf>
    <xf numFmtId="164" fontId="4" fillId="0" borderId="0" xfId="0" applyNumberFormat="1" applyFont="1" applyFill="1" applyAlignment="1">
      <alignment horizontal="center"/>
    </xf>
    <xf numFmtId="2" fontId="4" fillId="0" borderId="0" xfId="0" applyNumberFormat="1" applyFont="1" applyFill="1" applyAlignment="1">
      <alignment horizontal="center"/>
    </xf>
    <xf numFmtId="3" fontId="4" fillId="0" borderId="0" xfId="0" applyNumberFormat="1" applyFont="1" applyFill="1" applyAlignment="1">
      <alignment horizontal="center"/>
    </xf>
    <xf numFmtId="0" fontId="4" fillId="0" borderId="0" xfId="0" applyFont="1" applyFill="1"/>
    <xf numFmtId="3" fontId="4" fillId="0" borderId="0" xfId="3" applyNumberFormat="1" applyFont="1" applyAlignment="1">
      <alignment horizontal="right"/>
    </xf>
    <xf numFmtId="3" fontId="4" fillId="0" borderId="0" xfId="0" applyNumberFormat="1" applyFont="1" applyAlignment="1">
      <alignment horizontal="right"/>
    </xf>
    <xf numFmtId="3" fontId="4" fillId="0" borderId="0" xfId="3" applyNumberFormat="1" applyFont="1" applyFill="1" applyAlignment="1">
      <alignment horizontal="right"/>
    </xf>
    <xf numFmtId="3" fontId="4" fillId="0" borderId="0" xfId="0" applyNumberFormat="1" applyFont="1" applyFill="1" applyAlignment="1">
      <alignment horizontal="right"/>
    </xf>
    <xf numFmtId="0" fontId="4" fillId="0" borderId="0" xfId="0" applyFont="1" applyAlignment="1">
      <alignment horizontal="right"/>
    </xf>
    <xf numFmtId="165" fontId="4" fillId="0" borderId="0" xfId="0" applyNumberFormat="1" applyFont="1" applyAlignment="1">
      <alignment horizontal="center"/>
    </xf>
    <xf numFmtId="0" fontId="6" fillId="0" borderId="0" xfId="3" applyFont="1" applyFill="1" applyBorder="1" applyAlignment="1">
      <alignment horizontal="center"/>
    </xf>
    <xf numFmtId="0" fontId="6" fillId="0" borderId="1" xfId="3" applyFont="1" applyFill="1" applyBorder="1" applyAlignment="1">
      <alignment horizontal="center"/>
    </xf>
    <xf numFmtId="3" fontId="7" fillId="0" borderId="0" xfId="0" applyNumberFormat="1" applyFont="1" applyFill="1" applyAlignment="1">
      <alignment horizontal="center"/>
    </xf>
    <xf numFmtId="0" fontId="3" fillId="0" borderId="0" xfId="3" applyFont="1" applyFill="1" applyBorder="1" applyAlignment="1">
      <alignment horizontal="center"/>
    </xf>
    <xf numFmtId="0" fontId="1" fillId="0" borderId="0" xfId="0" applyFont="1"/>
    <xf numFmtId="0" fontId="9" fillId="0" borderId="0" xfId="0" applyFont="1"/>
    <xf numFmtId="165" fontId="9" fillId="0" borderId="0" xfId="0" applyNumberFormat="1" applyFont="1"/>
    <xf numFmtId="3" fontId="1" fillId="0" borderId="0" xfId="0" applyNumberFormat="1" applyFont="1" applyAlignment="1">
      <alignment vertical="center" wrapText="1"/>
    </xf>
    <xf numFmtId="0" fontId="0" fillId="0" borderId="1" xfId="0" applyBorder="1"/>
    <xf numFmtId="0" fontId="10" fillId="0" borderId="0" xfId="5" applyFont="1" applyBorder="1" applyAlignment="1">
      <alignment horizontal="center" vertical="center" wrapText="1"/>
    </xf>
    <xf numFmtId="0" fontId="11" fillId="0" borderId="0" xfId="0" applyFont="1" applyBorder="1"/>
    <xf numFmtId="0" fontId="11" fillId="0" borderId="0" xfId="0" applyFont="1"/>
    <xf numFmtId="0" fontId="4" fillId="0" borderId="0" xfId="0" applyFont="1" applyAlignment="1">
      <alignment horizontal="center"/>
    </xf>
    <xf numFmtId="0" fontId="5" fillId="0" borderId="0" xfId="0" applyFont="1" applyAlignment="1">
      <alignment horizontal="center"/>
    </xf>
    <xf numFmtId="3" fontId="4" fillId="0" borderId="0" xfId="0" applyNumberFormat="1" applyFont="1"/>
    <xf numFmtId="0" fontId="5" fillId="0" borderId="0" xfId="0" applyFont="1" applyAlignment="1">
      <alignment horizontal="center"/>
    </xf>
    <xf numFmtId="0" fontId="5" fillId="0" borderId="1" xfId="0" applyFont="1" applyBorder="1" applyAlignment="1">
      <alignment horizontal="center"/>
    </xf>
    <xf numFmtId="0" fontId="4" fillId="0" borderId="0" xfId="0" applyFont="1" applyFill="1" applyAlignment="1">
      <alignment horizontal="right"/>
    </xf>
    <xf numFmtId="165" fontId="4" fillId="0" borderId="0" xfId="0" applyNumberFormat="1" applyFont="1" applyFill="1" applyAlignment="1">
      <alignment horizontal="center"/>
    </xf>
    <xf numFmtId="0" fontId="5" fillId="0" borderId="0" xfId="0" applyFont="1" applyBorder="1" applyAlignment="1">
      <alignment horizontal="center"/>
    </xf>
    <xf numFmtId="0" fontId="0" fillId="0" borderId="0" xfId="0" applyBorder="1"/>
    <xf numFmtId="165" fontId="4" fillId="0" borderId="0" xfId="0" applyNumberFormat="1" applyFont="1"/>
    <xf numFmtId="9" fontId="4" fillId="0" borderId="0" xfId="1" applyFont="1"/>
    <xf numFmtId="0" fontId="3" fillId="0" borderId="1" xfId="3" applyFont="1" applyFill="1" applyBorder="1" applyAlignment="1">
      <alignment horizontal="center" wrapText="1"/>
    </xf>
    <xf numFmtId="0" fontId="4" fillId="4" borderId="0" xfId="0" applyFont="1" applyFill="1" applyAlignment="1">
      <alignment horizontal="right"/>
    </xf>
    <xf numFmtId="3" fontId="4" fillId="4" borderId="0" xfId="0" applyNumberFormat="1" applyFont="1" applyFill="1" applyAlignment="1">
      <alignment horizontal="right"/>
    </xf>
    <xf numFmtId="165" fontId="0" fillId="0" borderId="0" xfId="0" applyNumberFormat="1"/>
    <xf numFmtId="1" fontId="0" fillId="0" borderId="0" xfId="0" applyNumberFormat="1"/>
    <xf numFmtId="3" fontId="0" fillId="0" borderId="0" xfId="0" applyNumberFormat="1"/>
    <xf numFmtId="167" fontId="4" fillId="0" borderId="0" xfId="0" applyNumberFormat="1" applyFont="1"/>
    <xf numFmtId="164" fontId="3" fillId="0" borderId="0" xfId="3" applyNumberFormat="1" applyFont="1" applyAlignment="1">
      <alignment horizontal="center"/>
    </xf>
    <xf numFmtId="3" fontId="4" fillId="3" borderId="0" xfId="3" applyNumberFormat="1" applyFont="1" applyFill="1" applyAlignment="1">
      <alignment horizontal="center"/>
    </xf>
    <xf numFmtId="0" fontId="17" fillId="0" borderId="0" xfId="0" applyFont="1" applyAlignment="1">
      <alignment horizontal="center"/>
    </xf>
    <xf numFmtId="6" fontId="17" fillId="0" borderId="0" xfId="0" quotePrefix="1" applyNumberFormat="1" applyFont="1" applyAlignment="1">
      <alignment horizontal="center"/>
    </xf>
    <xf numFmtId="0" fontId="17" fillId="0" borderId="1" xfId="0" applyFont="1" applyBorder="1" applyAlignment="1">
      <alignment horizontal="center"/>
    </xf>
    <xf numFmtId="6" fontId="17" fillId="0" borderId="1" xfId="0" quotePrefix="1" applyNumberFormat="1" applyFont="1" applyBorder="1" applyAlignment="1">
      <alignment horizontal="center"/>
    </xf>
    <xf numFmtId="0" fontId="20" fillId="2" borderId="0" xfId="0" applyFont="1" applyFill="1"/>
    <xf numFmtId="0" fontId="21" fillId="2" borderId="0" xfId="0" applyFont="1" applyFill="1"/>
    <xf numFmtId="0" fontId="22" fillId="2" borderId="0" xfId="2" applyFont="1" applyFill="1"/>
    <xf numFmtId="169" fontId="0" fillId="0" borderId="0" xfId="0" applyNumberFormat="1"/>
    <xf numFmtId="165" fontId="0" fillId="0" borderId="0" xfId="0" applyNumberFormat="1" applyAlignment="1">
      <alignment horizontal="center"/>
    </xf>
    <xf numFmtId="0" fontId="17" fillId="0" borderId="0" xfId="0" applyFont="1"/>
    <xf numFmtId="3" fontId="3" fillId="0" borderId="0" xfId="3" applyNumberFormat="1" applyFont="1" applyAlignment="1">
      <alignment horizontal="center"/>
    </xf>
    <xf numFmtId="2" fontId="3" fillId="0" borderId="0" xfId="3" applyNumberFormat="1" applyFont="1" applyAlignment="1">
      <alignment horizontal="center"/>
    </xf>
    <xf numFmtId="2" fontId="3" fillId="0" borderId="0" xfId="3" applyNumberFormat="1" applyFont="1" applyAlignment="1">
      <alignment horizontal="center"/>
    </xf>
    <xf numFmtId="2" fontId="3" fillId="0" borderId="0" xfId="3" applyNumberFormat="1" applyFont="1" applyAlignment="1">
      <alignment horizontal="center"/>
    </xf>
    <xf numFmtId="3" fontId="6" fillId="0" borderId="0" xfId="3" applyNumberFormat="1" applyFont="1" applyAlignment="1">
      <alignment horizontal="center"/>
    </xf>
    <xf numFmtId="0" fontId="3" fillId="0" borderId="0" xfId="3" applyFont="1" applyFill="1" applyBorder="1" applyAlignment="1">
      <alignment horizontal="center" wrapText="1"/>
    </xf>
    <xf numFmtId="3" fontId="6" fillId="0" borderId="0" xfId="3" applyNumberFormat="1" applyFont="1" applyFill="1" applyAlignment="1">
      <alignment horizontal="center"/>
    </xf>
    <xf numFmtId="166" fontId="6" fillId="0" borderId="0" xfId="3" applyNumberFormat="1" applyFont="1" applyFill="1" applyAlignment="1">
      <alignment horizontal="center"/>
    </xf>
    <xf numFmtId="2" fontId="1" fillId="0" borderId="0" xfId="0" applyNumberFormat="1" applyFont="1"/>
    <xf numFmtId="164" fontId="1" fillId="0" borderId="0" xfId="0" applyNumberFormat="1" applyFont="1"/>
    <xf numFmtId="0" fontId="19" fillId="0" borderId="5" xfId="0" applyFont="1" applyBorder="1"/>
    <xf numFmtId="0" fontId="19" fillId="0" borderId="5" xfId="0" quotePrefix="1" applyFont="1" applyBorder="1" applyAlignment="1">
      <alignment horizontal="center"/>
    </xf>
    <xf numFmtId="43" fontId="19" fillId="0" borderId="5" xfId="7" quotePrefix="1" applyFont="1" applyBorder="1" applyAlignment="1">
      <alignment horizontal="center"/>
    </xf>
    <xf numFmtId="0" fontId="19" fillId="0" borderId="0" xfId="0" applyFont="1" applyBorder="1"/>
    <xf numFmtId="0" fontId="19" fillId="0" borderId="1" xfId="0" applyFont="1" applyBorder="1"/>
    <xf numFmtId="0" fontId="19" fillId="0" borderId="0" xfId="0" applyFont="1"/>
    <xf numFmtId="0" fontId="19" fillId="0" borderId="0" xfId="0" applyFont="1" applyAlignment="1">
      <alignment horizontal="center"/>
    </xf>
    <xf numFmtId="0" fontId="19" fillId="0" borderId="1" xfId="0" applyFont="1" applyBorder="1" applyAlignment="1">
      <alignment horizontal="center"/>
    </xf>
    <xf numFmtId="0" fontId="24" fillId="0" borderId="0" xfId="0" applyFont="1" applyAlignment="1">
      <alignment horizontal="center"/>
    </xf>
    <xf numFmtId="0" fontId="18" fillId="0" borderId="0" xfId="0" applyFont="1" applyBorder="1"/>
    <xf numFmtId="0" fontId="23" fillId="0" borderId="1" xfId="0" quotePrefix="1" applyFont="1" applyBorder="1" applyAlignment="1">
      <alignment horizontal="center"/>
    </xf>
    <xf numFmtId="0" fontId="23" fillId="0" borderId="1" xfId="0" applyFont="1" applyBorder="1"/>
    <xf numFmtId="0" fontId="19" fillId="0" borderId="0" xfId="0" applyFont="1" applyAlignment="1">
      <alignment horizontal="center" vertical="center" wrapText="1"/>
    </xf>
    <xf numFmtId="0" fontId="18" fillId="0" borderId="0" xfId="0" quotePrefix="1" applyFont="1" applyBorder="1" applyAlignment="1"/>
    <xf numFmtId="2" fontId="1" fillId="0" borderId="0" xfId="0" applyNumberFormat="1" applyFont="1" applyAlignment="1">
      <alignment horizontal="center"/>
    </xf>
    <xf numFmtId="0" fontId="20" fillId="2" borderId="0" xfId="0" applyFont="1" applyFill="1" applyAlignment="1"/>
    <xf numFmtId="0" fontId="21" fillId="2" borderId="0" xfId="0" applyFont="1" applyFill="1" applyAlignment="1"/>
    <xf numFmtId="0" fontId="17" fillId="0" borderId="0" xfId="0" applyFont="1" applyAlignment="1"/>
    <xf numFmtId="0" fontId="27" fillId="0" borderId="0" xfId="0" applyFont="1" applyAlignment="1">
      <alignment horizontal="left" vertical="center"/>
    </xf>
    <xf numFmtId="0" fontId="28" fillId="2" borderId="0" xfId="2" applyFont="1" applyFill="1" applyAlignment="1">
      <alignment horizontal="center"/>
    </xf>
    <xf numFmtId="0" fontId="2" fillId="4" borderId="0" xfId="2" applyFill="1" applyAlignment="1">
      <alignment horizontal="center"/>
    </xf>
    <xf numFmtId="164" fontId="3" fillId="0" borderId="0" xfId="3" applyNumberFormat="1" applyFont="1" applyFill="1" applyAlignment="1">
      <alignment horizontal="center"/>
    </xf>
    <xf numFmtId="2" fontId="3" fillId="0" borderId="0" xfId="3" applyNumberFormat="1" applyFont="1" applyFill="1" applyAlignment="1">
      <alignment horizontal="center"/>
    </xf>
    <xf numFmtId="3" fontId="3" fillId="0" borderId="0" xfId="3" applyNumberFormat="1" applyFont="1" applyFill="1" applyAlignment="1">
      <alignment horizontal="center"/>
    </xf>
    <xf numFmtId="3" fontId="4" fillId="0" borderId="0" xfId="0" applyNumberFormat="1" applyFont="1" applyFill="1"/>
    <xf numFmtId="43" fontId="5" fillId="0" borderId="1" xfId="7" applyFont="1" applyBorder="1" applyAlignment="1"/>
    <xf numFmtId="0" fontId="5" fillId="0" borderId="0" xfId="0" applyFont="1" applyAlignment="1"/>
    <xf numFmtId="2" fontId="0" fillId="0" borderId="0" xfId="0" applyNumberFormat="1"/>
    <xf numFmtId="164" fontId="0" fillId="0" borderId="0" xfId="0" applyNumberFormat="1"/>
    <xf numFmtId="2" fontId="0" fillId="5" borderId="0" xfId="0" applyNumberFormat="1" applyFill="1"/>
    <xf numFmtId="1" fontId="17" fillId="0" borderId="0" xfId="0" applyNumberFormat="1" applyFont="1" applyAlignment="1">
      <alignment horizontal="center"/>
    </xf>
    <xf numFmtId="0" fontId="25" fillId="0" borderId="0" xfId="0" applyFont="1" applyAlignment="1"/>
    <xf numFmtId="1" fontId="25" fillId="0" borderId="0" xfId="0" applyNumberFormat="1" applyFont="1" applyAlignment="1">
      <alignment horizontal="center"/>
    </xf>
    <xf numFmtId="9" fontId="4" fillId="0" borderId="0" xfId="1" applyFont="1" applyFill="1" applyAlignment="1"/>
    <xf numFmtId="0" fontId="26" fillId="0" borderId="0" xfId="0" applyFont="1" applyAlignment="1">
      <alignment horizontal="left" vertical="center" wrapText="1"/>
    </xf>
    <xf numFmtId="0" fontId="19" fillId="0" borderId="2" xfId="0" applyFont="1" applyBorder="1" applyAlignment="1">
      <alignment horizontal="center" vertical="center" wrapText="1"/>
    </xf>
    <xf numFmtId="0" fontId="19" fillId="0" borderId="0" xfId="0" applyFont="1" applyAlignment="1">
      <alignment horizontal="center" vertical="center" wrapText="1"/>
    </xf>
    <xf numFmtId="0" fontId="18" fillId="0" borderId="1" xfId="0" quotePrefix="1" applyFont="1" applyBorder="1" applyAlignment="1">
      <alignment horizontal="center"/>
    </xf>
    <xf numFmtId="0" fontId="26" fillId="0" borderId="0" xfId="0" applyFont="1" applyAlignment="1">
      <alignment vertical="center" wrapText="1"/>
    </xf>
    <xf numFmtId="0" fontId="17" fillId="0" borderId="0" xfId="0" applyFont="1" applyAlignment="1">
      <alignment horizontal="center"/>
    </xf>
    <xf numFmtId="0" fontId="25" fillId="0" borderId="0" xfId="0" applyFont="1" applyAlignment="1">
      <alignment horizontal="center"/>
    </xf>
    <xf numFmtId="0" fontId="3" fillId="0" borderId="1" xfId="3" applyFont="1" applyFill="1" applyBorder="1" applyAlignment="1">
      <alignment horizontal="center"/>
    </xf>
    <xf numFmtId="0" fontId="3" fillId="0" borderId="1" xfId="3" applyFont="1" applyFill="1" applyBorder="1" applyAlignment="1">
      <alignment horizontal="center" wrapText="1"/>
    </xf>
    <xf numFmtId="0" fontId="1" fillId="0" borderId="3" xfId="0" applyFont="1" applyBorder="1" applyAlignment="1">
      <alignment horizontal="center"/>
    </xf>
    <xf numFmtId="0" fontId="3" fillId="0" borderId="0" xfId="3" applyFont="1" applyFill="1" applyBorder="1" applyAlignment="1">
      <alignment horizontal="center" wrapText="1"/>
    </xf>
    <xf numFmtId="0" fontId="5" fillId="0" borderId="0" xfId="0" applyFont="1" applyAlignment="1">
      <alignment horizontal="center"/>
    </xf>
    <xf numFmtId="0" fontId="5" fillId="0" borderId="2" xfId="0" applyFont="1" applyBorder="1" applyAlignment="1">
      <alignment horizontal="center"/>
    </xf>
    <xf numFmtId="0" fontId="5" fillId="0" borderId="1" xfId="0" applyFont="1" applyBorder="1" applyAlignment="1">
      <alignment horizontal="center"/>
    </xf>
    <xf numFmtId="0" fontId="5" fillId="0" borderId="0" xfId="0" applyFont="1" applyBorder="1" applyAlignment="1">
      <alignment horizontal="center"/>
    </xf>
    <xf numFmtId="43" fontId="5" fillId="0" borderId="1" xfId="7" applyFont="1" applyBorder="1" applyAlignment="1">
      <alignment horizontal="center"/>
    </xf>
  </cellXfs>
  <cellStyles count="18">
    <cellStyle name="Comma" xfId="7" builtinId="3"/>
    <cellStyle name="Date" xfId="9"/>
    <cellStyle name="En-tête 1" xfId="10"/>
    <cellStyle name="En-tête 2" xfId="11"/>
    <cellStyle name="Financier0" xfId="12"/>
    <cellStyle name="Hyperlink" xfId="2" builtinId="8"/>
    <cellStyle name="Monétaire0" xfId="13"/>
    <cellStyle name="Normal" xfId="0" builtinId="0"/>
    <cellStyle name="Normal 10" xfId="16"/>
    <cellStyle name="Normal 2" xfId="8"/>
    <cellStyle name="Normal 2 3" xfId="6"/>
    <cellStyle name="Normal 8" xfId="5"/>
    <cellStyle name="Normal_TabAnnexeB" xfId="3"/>
    <cellStyle name="Percent" xfId="1" builtinId="5"/>
    <cellStyle name="Pourcentage 7" xfId="4"/>
    <cellStyle name="Pourcentage 9" xfId="17"/>
    <cellStyle name="style_col_headings" xfId="14"/>
    <cellStyle name="Virgule fixe"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a:pPr>
            <a:r>
              <a:rPr lang="en-US" sz="1300" b="1"/>
              <a:t>Top 0.01% share</a:t>
            </a:r>
          </a:p>
        </c:rich>
      </c:tx>
      <c:layout>
        <c:manualLayout>
          <c:xMode val="edge"/>
          <c:yMode val="edge"/>
          <c:x val="0.4262609766371796"/>
          <c:y val="0"/>
        </c:manualLayout>
      </c:layout>
      <c:overlay val="0"/>
    </c:title>
    <c:autoTitleDeleted val="0"/>
    <c:plotArea>
      <c:layout>
        <c:manualLayout>
          <c:layoutTarget val="inner"/>
          <c:xMode val="edge"/>
          <c:yMode val="edge"/>
          <c:x val="0.15110888916663198"/>
          <c:y val="5.6927787872669756E-2"/>
          <c:w val="0.80338828016868247"/>
          <c:h val="0.87995715279179831"/>
        </c:manualLayout>
      </c:layout>
      <c:lineChart>
        <c:grouping val="standard"/>
        <c:varyColors val="0"/>
        <c:ser>
          <c:idx val="0"/>
          <c:order val="0"/>
          <c:tx>
            <c:v>Duq</c:v>
          </c:tx>
          <c:spPr>
            <a:ln w="25400">
              <a:solidFill>
                <a:schemeClr val="bg1">
                  <a:lumMod val="65000"/>
                </a:schemeClr>
              </a:solidFill>
              <a:prstDash val="solid"/>
            </a:ln>
          </c:spPr>
          <c:marker>
            <c:symbol val="none"/>
          </c:marker>
          <c:dPt>
            <c:idx val="54"/>
            <c:bubble3D val="0"/>
            <c:spPr>
              <a:ln w="25400">
                <a:solidFill>
                  <a:schemeClr val="bg1">
                    <a:lumMod val="65000"/>
                  </a:schemeClr>
                </a:solidFill>
                <a:prstDash val="solid"/>
              </a:ln>
            </c:spPr>
          </c:dPt>
          <c:cat>
            <c:numRef>
              <c:f>'F1-PSZ'!$A$38:$A$138</c:f>
              <c:numCache>
                <c:formatCode>General</c:formatCode>
                <c:ptCount val="101"/>
                <c:pt idx="0">
                  <c:v>1920</c:v>
                </c:pt>
                <c:pt idx="1">
                  <c:v>1921</c:v>
                </c:pt>
                <c:pt idx="2">
                  <c:v>1922</c:v>
                </c:pt>
                <c:pt idx="3">
                  <c:v>1923</c:v>
                </c:pt>
                <c:pt idx="4">
                  <c:v>1924</c:v>
                </c:pt>
                <c:pt idx="5">
                  <c:v>1925</c:v>
                </c:pt>
                <c:pt idx="6">
                  <c:v>1926</c:v>
                </c:pt>
                <c:pt idx="7">
                  <c:v>1927</c:v>
                </c:pt>
                <c:pt idx="8">
                  <c:v>1928</c:v>
                </c:pt>
                <c:pt idx="9">
                  <c:v>1929</c:v>
                </c:pt>
                <c:pt idx="10">
                  <c:v>1930</c:v>
                </c:pt>
                <c:pt idx="11">
                  <c:v>1931</c:v>
                </c:pt>
                <c:pt idx="12">
                  <c:v>1932</c:v>
                </c:pt>
                <c:pt idx="13">
                  <c:v>1933</c:v>
                </c:pt>
                <c:pt idx="14">
                  <c:v>1934</c:v>
                </c:pt>
                <c:pt idx="15">
                  <c:v>1935</c:v>
                </c:pt>
                <c:pt idx="16">
                  <c:v>1936</c:v>
                </c:pt>
                <c:pt idx="17">
                  <c:v>1937</c:v>
                </c:pt>
                <c:pt idx="18">
                  <c:v>1938</c:v>
                </c:pt>
                <c:pt idx="19">
                  <c:v>1939</c:v>
                </c:pt>
                <c:pt idx="20">
                  <c:v>1940</c:v>
                </c:pt>
                <c:pt idx="21">
                  <c:v>1941</c:v>
                </c:pt>
                <c:pt idx="22">
                  <c:v>1942</c:v>
                </c:pt>
                <c:pt idx="23">
                  <c:v>1943</c:v>
                </c:pt>
                <c:pt idx="24">
                  <c:v>1944</c:v>
                </c:pt>
                <c:pt idx="25">
                  <c:v>1945</c:v>
                </c:pt>
                <c:pt idx="26">
                  <c:v>1946</c:v>
                </c:pt>
                <c:pt idx="27">
                  <c:v>1947</c:v>
                </c:pt>
                <c:pt idx="28">
                  <c:v>1948</c:v>
                </c:pt>
                <c:pt idx="29">
                  <c:v>1949</c:v>
                </c:pt>
                <c:pt idx="30">
                  <c:v>1950</c:v>
                </c:pt>
                <c:pt idx="31">
                  <c:v>1951</c:v>
                </c:pt>
                <c:pt idx="32">
                  <c:v>1952</c:v>
                </c:pt>
                <c:pt idx="33">
                  <c:v>1953</c:v>
                </c:pt>
                <c:pt idx="34">
                  <c:v>1954</c:v>
                </c:pt>
                <c:pt idx="35">
                  <c:v>1955</c:v>
                </c:pt>
                <c:pt idx="36">
                  <c:v>1956</c:v>
                </c:pt>
                <c:pt idx="37">
                  <c:v>1957</c:v>
                </c:pt>
                <c:pt idx="38">
                  <c:v>1958</c:v>
                </c:pt>
                <c:pt idx="39">
                  <c:v>1959</c:v>
                </c:pt>
                <c:pt idx="40">
                  <c:v>1960</c:v>
                </c:pt>
                <c:pt idx="41">
                  <c:v>1961</c:v>
                </c:pt>
                <c:pt idx="42">
                  <c:v>1962</c:v>
                </c:pt>
                <c:pt idx="43">
                  <c:v>1963</c:v>
                </c:pt>
                <c:pt idx="44">
                  <c:v>1964</c:v>
                </c:pt>
                <c:pt idx="45">
                  <c:v>1965</c:v>
                </c:pt>
                <c:pt idx="46">
                  <c:v>1966</c:v>
                </c:pt>
                <c:pt idx="47">
                  <c:v>1967</c:v>
                </c:pt>
                <c:pt idx="48">
                  <c:v>1968</c:v>
                </c:pt>
                <c:pt idx="49">
                  <c:v>1969</c:v>
                </c:pt>
                <c:pt idx="50">
                  <c:v>1970</c:v>
                </c:pt>
                <c:pt idx="51">
                  <c:v>1971</c:v>
                </c:pt>
                <c:pt idx="52">
                  <c:v>1972</c:v>
                </c:pt>
                <c:pt idx="53">
                  <c:v>1973</c:v>
                </c:pt>
                <c:pt idx="54">
                  <c:v>1974</c:v>
                </c:pt>
                <c:pt idx="55">
                  <c:v>1975</c:v>
                </c:pt>
                <c:pt idx="56">
                  <c:v>1976</c:v>
                </c:pt>
                <c:pt idx="57">
                  <c:v>1977</c:v>
                </c:pt>
                <c:pt idx="58">
                  <c:v>1978</c:v>
                </c:pt>
                <c:pt idx="59">
                  <c:v>1979</c:v>
                </c:pt>
                <c:pt idx="60">
                  <c:v>1980</c:v>
                </c:pt>
                <c:pt idx="61">
                  <c:v>1981</c:v>
                </c:pt>
                <c:pt idx="62">
                  <c:v>1982</c:v>
                </c:pt>
                <c:pt idx="63">
                  <c:v>1983</c:v>
                </c:pt>
                <c:pt idx="64">
                  <c:v>1984</c:v>
                </c:pt>
                <c:pt idx="65">
                  <c:v>1985</c:v>
                </c:pt>
                <c:pt idx="66">
                  <c:v>1986</c:v>
                </c:pt>
                <c:pt idx="67">
                  <c:v>1987</c:v>
                </c:pt>
                <c:pt idx="68">
                  <c:v>1988</c:v>
                </c:pt>
                <c:pt idx="69">
                  <c:v>1989</c:v>
                </c:pt>
                <c:pt idx="70">
                  <c:v>1990</c:v>
                </c:pt>
                <c:pt idx="71">
                  <c:v>1991</c:v>
                </c:pt>
                <c:pt idx="72">
                  <c:v>1992</c:v>
                </c:pt>
                <c:pt idx="73">
                  <c:v>1993</c:v>
                </c:pt>
                <c:pt idx="74">
                  <c:v>1994</c:v>
                </c:pt>
                <c:pt idx="75">
                  <c:v>1995</c:v>
                </c:pt>
                <c:pt idx="76">
                  <c:v>1996</c:v>
                </c:pt>
                <c:pt idx="77">
                  <c:v>1997</c:v>
                </c:pt>
                <c:pt idx="78">
                  <c:v>1998</c:v>
                </c:pt>
                <c:pt idx="79">
                  <c:v>1999</c:v>
                </c:pt>
                <c:pt idx="80">
                  <c:v>2000</c:v>
                </c:pt>
                <c:pt idx="81">
                  <c:v>2001</c:v>
                </c:pt>
                <c:pt idx="82">
                  <c:v>2002</c:v>
                </c:pt>
                <c:pt idx="83">
                  <c:v>2003</c:v>
                </c:pt>
                <c:pt idx="84">
                  <c:v>2004</c:v>
                </c:pt>
                <c:pt idx="85">
                  <c:v>2005</c:v>
                </c:pt>
                <c:pt idx="86">
                  <c:v>2006</c:v>
                </c:pt>
                <c:pt idx="87">
                  <c:v>2007</c:v>
                </c:pt>
                <c:pt idx="88">
                  <c:v>2008</c:v>
                </c:pt>
                <c:pt idx="89">
                  <c:v>2009</c:v>
                </c:pt>
                <c:pt idx="90">
                  <c:v>2010</c:v>
                </c:pt>
                <c:pt idx="91">
                  <c:v>2011</c:v>
                </c:pt>
                <c:pt idx="92">
                  <c:v>2012</c:v>
                </c:pt>
                <c:pt idx="93">
                  <c:v>2013</c:v>
                </c:pt>
                <c:pt idx="94">
                  <c:v>2014</c:v>
                </c:pt>
                <c:pt idx="95">
                  <c:v>2015</c:v>
                </c:pt>
                <c:pt idx="96">
                  <c:v>2016</c:v>
                </c:pt>
                <c:pt idx="97">
                  <c:v>2017</c:v>
                </c:pt>
                <c:pt idx="98">
                  <c:v>2018</c:v>
                </c:pt>
                <c:pt idx="99">
                  <c:v>2019</c:v>
                </c:pt>
                <c:pt idx="100">
                  <c:v>2020</c:v>
                </c:pt>
              </c:numCache>
            </c:numRef>
          </c:cat>
          <c:val>
            <c:numRef>
              <c:f>'F1-PSZ'!$B$38:$B$138</c:f>
              <c:numCache>
                <c:formatCode>0.000</c:formatCode>
                <c:ptCount val="101"/>
                <c:pt idx="2">
                  <c:v>3.278394415974617E-2</c:v>
                </c:pt>
                <c:pt idx="3">
                  <c:v>3.5604115575551987E-2</c:v>
                </c:pt>
                <c:pt idx="4">
                  <c:v>3.6353945732116699E-2</c:v>
                </c:pt>
                <c:pt idx="5">
                  <c:v>2.6901287958025932E-2</c:v>
                </c:pt>
                <c:pt idx="6">
                  <c:v>2.8996966779232025E-2</c:v>
                </c:pt>
                <c:pt idx="7">
                  <c:v>3.0209345743060112E-2</c:v>
                </c:pt>
                <c:pt idx="8">
                  <c:v>2.546476386487484E-2</c:v>
                </c:pt>
                <c:pt idx="9">
                  <c:v>2.534228190779686E-2</c:v>
                </c:pt>
                <c:pt idx="10">
                  <c:v>3.366384282708168E-2</c:v>
                </c:pt>
                <c:pt idx="11">
                  <c:v>3.2495655119419098E-2</c:v>
                </c:pt>
                <c:pt idx="12">
                  <c:v>3.769032284617424E-2</c:v>
                </c:pt>
                <c:pt idx="13">
                  <c:v>2.6332790032029152E-2</c:v>
                </c:pt>
                <c:pt idx="14">
                  <c:v>3.9727747440338135E-2</c:v>
                </c:pt>
                <c:pt idx="15">
                  <c:v>4.1064772754907608E-2</c:v>
                </c:pt>
                <c:pt idx="16">
                  <c:v>4.5951876789331436E-2</c:v>
                </c:pt>
                <c:pt idx="17">
                  <c:v>4.7161825001239777E-2</c:v>
                </c:pt>
                <c:pt idx="18">
                  <c:v>3.8555514067411423E-2</c:v>
                </c:pt>
                <c:pt idx="19">
                  <c:v>5.0459377467632294E-2</c:v>
                </c:pt>
                <c:pt idx="20">
                  <c:v>5.1153421401977539E-2</c:v>
                </c:pt>
                <c:pt idx="21">
                  <c:v>4.5914281159639359E-2</c:v>
                </c:pt>
                <c:pt idx="22">
                  <c:v>3.9713490754365921E-2</c:v>
                </c:pt>
                <c:pt idx="24">
                  <c:v>4.7171000391244888E-2</c:v>
                </c:pt>
                <c:pt idx="25">
                  <c:v>6.1977241188287735E-2</c:v>
                </c:pt>
                <c:pt idx="26">
                  <c:v>6.5709106624126434E-2</c:v>
                </c:pt>
                <c:pt idx="27">
                  <c:v>6.3488945364952087E-2</c:v>
                </c:pt>
                <c:pt idx="28">
                  <c:v>6.6408842802047729E-2</c:v>
                </c:pt>
                <c:pt idx="29">
                  <c:v>5.8753158897161484E-2</c:v>
                </c:pt>
                <c:pt idx="30">
                  <c:v>5.7910304516553879E-2</c:v>
                </c:pt>
                <c:pt idx="32">
                  <c:v>7.7547036111354828E-2</c:v>
                </c:pt>
                <c:pt idx="33">
                  <c:v>8.0044232308864594E-2</c:v>
                </c:pt>
                <c:pt idx="34">
                  <c:v>0.10765928775072098</c:v>
                </c:pt>
                <c:pt idx="36">
                  <c:v>0.12452054768800735</c:v>
                </c:pt>
                <c:pt idx="38">
                  <c:v>0.14411710202693939</c:v>
                </c:pt>
                <c:pt idx="40">
                  <c:v>0.18370258808135986</c:v>
                </c:pt>
                <c:pt idx="42">
                  <c:v>0.19173590838909149</c:v>
                </c:pt>
                <c:pt idx="44">
                  <c:v>0.19323407113552094</c:v>
                </c:pt>
                <c:pt idx="46">
                  <c:v>0.16771937906742096</c:v>
                </c:pt>
                <c:pt idx="48">
                  <c:v>0.19195100665092468</c:v>
                </c:pt>
                <c:pt idx="50">
                  <c:v>0.15182901918888092</c:v>
                </c:pt>
                <c:pt idx="52">
                  <c:v>0.14235158264636993</c:v>
                </c:pt>
                <c:pt idx="53">
                  <c:v>0.1126420646905899</c:v>
                </c:pt>
                <c:pt idx="54">
                  <c:v>0.10186830908060074</c:v>
                </c:pt>
                <c:pt idx="55">
                  <c:v>0.11073751002550125</c:v>
                </c:pt>
                <c:pt idx="56">
                  <c:v>0.11032526195049286</c:v>
                </c:pt>
                <c:pt idx="57">
                  <c:v>0.11107464879751205</c:v>
                </c:pt>
                <c:pt idx="58">
                  <c:v>0.10067892819643021</c:v>
                </c:pt>
                <c:pt idx="59">
                  <c:v>0.11787800490856171</c:v>
                </c:pt>
                <c:pt idx="60">
                  <c:v>0.10876652598381042</c:v>
                </c:pt>
                <c:pt idx="61">
                  <c:v>0.12870089709758759</c:v>
                </c:pt>
                <c:pt idx="62">
                  <c:v>8.4223732352256775E-2</c:v>
                </c:pt>
                <c:pt idx="63">
                  <c:v>7.9008191823959351E-2</c:v>
                </c:pt>
                <c:pt idx="64">
                  <c:v>8.1439316272735596E-2</c:v>
                </c:pt>
                <c:pt idx="65">
                  <c:v>7.8300096094608307E-2</c:v>
                </c:pt>
                <c:pt idx="66">
                  <c:v>0.10092118382453918</c:v>
                </c:pt>
                <c:pt idx="67">
                  <c:v>4.7316454350948334E-2</c:v>
                </c:pt>
                <c:pt idx="68">
                  <c:v>4.424922913312912E-2</c:v>
                </c:pt>
                <c:pt idx="69">
                  <c:v>4.2416885495185852E-2</c:v>
                </c:pt>
                <c:pt idx="70">
                  <c:v>4.0312815457582474E-2</c:v>
                </c:pt>
                <c:pt idx="71">
                  <c:v>7.1500591933727264E-2</c:v>
                </c:pt>
                <c:pt idx="72">
                  <c:v>3.5154171288013458E-2</c:v>
                </c:pt>
                <c:pt idx="73">
                  <c:v>5.1010515540838242E-2</c:v>
                </c:pt>
                <c:pt idx="74">
                  <c:v>5.7579375803470612E-2</c:v>
                </c:pt>
                <c:pt idx="75">
                  <c:v>4.7401860356330872E-2</c:v>
                </c:pt>
                <c:pt idx="76">
                  <c:v>6.4663425087928772E-2</c:v>
                </c:pt>
                <c:pt idx="77">
                  <c:v>7.444530725479126E-2</c:v>
                </c:pt>
                <c:pt idx="78">
                  <c:v>6.5787836909294128E-2</c:v>
                </c:pt>
                <c:pt idx="79">
                  <c:v>6.2063165009021759E-2</c:v>
                </c:pt>
                <c:pt idx="80">
                  <c:v>6.1263587325811386E-2</c:v>
                </c:pt>
                <c:pt idx="81">
                  <c:v>5.8879591524600983E-2</c:v>
                </c:pt>
                <c:pt idx="82">
                  <c:v>7.2522386908531189E-2</c:v>
                </c:pt>
                <c:pt idx="83">
                  <c:v>6.6449202597141266E-2</c:v>
                </c:pt>
                <c:pt idx="84">
                  <c:v>6.486356258392334E-2</c:v>
                </c:pt>
                <c:pt idx="85">
                  <c:v>6.5639585256576538E-2</c:v>
                </c:pt>
                <c:pt idx="86">
                  <c:v>7.6668843626976013E-2</c:v>
                </c:pt>
                <c:pt idx="87">
                  <c:v>4.8019655048847198E-2</c:v>
                </c:pt>
                <c:pt idx="88">
                  <c:v>5.7341277599334717E-2</c:v>
                </c:pt>
                <c:pt idx="89">
                  <c:v>9.3117699027061462E-2</c:v>
                </c:pt>
                <c:pt idx="90">
                  <c:v>8.8891275227069855E-2</c:v>
                </c:pt>
                <c:pt idx="91">
                  <c:v>9.4633206725120544E-2</c:v>
                </c:pt>
                <c:pt idx="92">
                  <c:v>5.8285310864448547E-2</c:v>
                </c:pt>
              </c:numCache>
            </c:numRef>
          </c:val>
          <c:smooth val="0"/>
        </c:ser>
        <c:ser>
          <c:idx val="1"/>
          <c:order val="1"/>
          <c:tx>
            <c:v>PSZ pre-tax</c:v>
          </c:tx>
          <c:spPr>
            <a:ln w="25400">
              <a:solidFill>
                <a:schemeClr val="tx1"/>
              </a:solidFill>
              <a:prstDash val="solid"/>
            </a:ln>
          </c:spPr>
          <c:marker>
            <c:symbol val="none"/>
          </c:marker>
          <c:dPt>
            <c:idx val="1"/>
            <c:bubble3D val="0"/>
          </c:dPt>
          <c:dPt>
            <c:idx val="3"/>
            <c:bubble3D val="0"/>
          </c:dPt>
          <c:dPt>
            <c:idx val="5"/>
            <c:bubble3D val="0"/>
          </c:dPt>
          <c:cat>
            <c:numRef>
              <c:f>'F1-PSZ'!$A$38:$A$138</c:f>
              <c:numCache>
                <c:formatCode>General</c:formatCode>
                <c:ptCount val="101"/>
                <c:pt idx="0">
                  <c:v>1920</c:v>
                </c:pt>
                <c:pt idx="1">
                  <c:v>1921</c:v>
                </c:pt>
                <c:pt idx="2">
                  <c:v>1922</c:v>
                </c:pt>
                <c:pt idx="3">
                  <c:v>1923</c:v>
                </c:pt>
                <c:pt idx="4">
                  <c:v>1924</c:v>
                </c:pt>
                <c:pt idx="5">
                  <c:v>1925</c:v>
                </c:pt>
                <c:pt idx="6">
                  <c:v>1926</c:v>
                </c:pt>
                <c:pt idx="7">
                  <c:v>1927</c:v>
                </c:pt>
                <c:pt idx="8">
                  <c:v>1928</c:v>
                </c:pt>
                <c:pt idx="9">
                  <c:v>1929</c:v>
                </c:pt>
                <c:pt idx="10">
                  <c:v>1930</c:v>
                </c:pt>
                <c:pt idx="11">
                  <c:v>1931</c:v>
                </c:pt>
                <c:pt idx="12">
                  <c:v>1932</c:v>
                </c:pt>
                <c:pt idx="13">
                  <c:v>1933</c:v>
                </c:pt>
                <c:pt idx="14">
                  <c:v>1934</c:v>
                </c:pt>
                <c:pt idx="15">
                  <c:v>1935</c:v>
                </c:pt>
                <c:pt idx="16">
                  <c:v>1936</c:v>
                </c:pt>
                <c:pt idx="17">
                  <c:v>1937</c:v>
                </c:pt>
                <c:pt idx="18">
                  <c:v>1938</c:v>
                </c:pt>
                <c:pt idx="19">
                  <c:v>1939</c:v>
                </c:pt>
                <c:pt idx="20">
                  <c:v>1940</c:v>
                </c:pt>
                <c:pt idx="21">
                  <c:v>1941</c:v>
                </c:pt>
                <c:pt idx="22">
                  <c:v>1942</c:v>
                </c:pt>
                <c:pt idx="23">
                  <c:v>1943</c:v>
                </c:pt>
                <c:pt idx="24">
                  <c:v>1944</c:v>
                </c:pt>
                <c:pt idx="25">
                  <c:v>1945</c:v>
                </c:pt>
                <c:pt idx="26">
                  <c:v>1946</c:v>
                </c:pt>
                <c:pt idx="27">
                  <c:v>1947</c:v>
                </c:pt>
                <c:pt idx="28">
                  <c:v>1948</c:v>
                </c:pt>
                <c:pt idx="29">
                  <c:v>1949</c:v>
                </c:pt>
                <c:pt idx="30">
                  <c:v>1950</c:v>
                </c:pt>
                <c:pt idx="31">
                  <c:v>1951</c:v>
                </c:pt>
                <c:pt idx="32">
                  <c:v>1952</c:v>
                </c:pt>
                <c:pt idx="33">
                  <c:v>1953</c:v>
                </c:pt>
                <c:pt idx="34">
                  <c:v>1954</c:v>
                </c:pt>
                <c:pt idx="35">
                  <c:v>1955</c:v>
                </c:pt>
                <c:pt idx="36">
                  <c:v>1956</c:v>
                </c:pt>
                <c:pt idx="37">
                  <c:v>1957</c:v>
                </c:pt>
                <c:pt idx="38">
                  <c:v>1958</c:v>
                </c:pt>
                <c:pt idx="39">
                  <c:v>1959</c:v>
                </c:pt>
                <c:pt idx="40">
                  <c:v>1960</c:v>
                </c:pt>
                <c:pt idx="41">
                  <c:v>1961</c:v>
                </c:pt>
                <c:pt idx="42">
                  <c:v>1962</c:v>
                </c:pt>
                <c:pt idx="43">
                  <c:v>1963</c:v>
                </c:pt>
                <c:pt idx="44">
                  <c:v>1964</c:v>
                </c:pt>
                <c:pt idx="45">
                  <c:v>1965</c:v>
                </c:pt>
                <c:pt idx="46">
                  <c:v>1966</c:v>
                </c:pt>
                <c:pt idx="47">
                  <c:v>1967</c:v>
                </c:pt>
                <c:pt idx="48">
                  <c:v>1968</c:v>
                </c:pt>
                <c:pt idx="49">
                  <c:v>1969</c:v>
                </c:pt>
                <c:pt idx="50">
                  <c:v>1970</c:v>
                </c:pt>
                <c:pt idx="51">
                  <c:v>1971</c:v>
                </c:pt>
                <c:pt idx="52">
                  <c:v>1972</c:v>
                </c:pt>
                <c:pt idx="53">
                  <c:v>1973</c:v>
                </c:pt>
                <c:pt idx="54">
                  <c:v>1974</c:v>
                </c:pt>
                <c:pt idx="55">
                  <c:v>1975</c:v>
                </c:pt>
                <c:pt idx="56">
                  <c:v>1976</c:v>
                </c:pt>
                <c:pt idx="57">
                  <c:v>1977</c:v>
                </c:pt>
                <c:pt idx="58">
                  <c:v>1978</c:v>
                </c:pt>
                <c:pt idx="59">
                  <c:v>1979</c:v>
                </c:pt>
                <c:pt idx="60">
                  <c:v>1980</c:v>
                </c:pt>
                <c:pt idx="61">
                  <c:v>1981</c:v>
                </c:pt>
                <c:pt idx="62">
                  <c:v>1982</c:v>
                </c:pt>
                <c:pt idx="63">
                  <c:v>1983</c:v>
                </c:pt>
                <c:pt idx="64">
                  <c:v>1984</c:v>
                </c:pt>
                <c:pt idx="65">
                  <c:v>1985</c:v>
                </c:pt>
                <c:pt idx="66">
                  <c:v>1986</c:v>
                </c:pt>
                <c:pt idx="67">
                  <c:v>1987</c:v>
                </c:pt>
                <c:pt idx="68">
                  <c:v>1988</c:v>
                </c:pt>
                <c:pt idx="69">
                  <c:v>1989</c:v>
                </c:pt>
                <c:pt idx="70">
                  <c:v>1990</c:v>
                </c:pt>
                <c:pt idx="71">
                  <c:v>1991</c:v>
                </c:pt>
                <c:pt idx="72">
                  <c:v>1992</c:v>
                </c:pt>
                <c:pt idx="73">
                  <c:v>1993</c:v>
                </c:pt>
                <c:pt idx="74">
                  <c:v>1994</c:v>
                </c:pt>
                <c:pt idx="75">
                  <c:v>1995</c:v>
                </c:pt>
                <c:pt idx="76">
                  <c:v>1996</c:v>
                </c:pt>
                <c:pt idx="77">
                  <c:v>1997</c:v>
                </c:pt>
                <c:pt idx="78">
                  <c:v>1998</c:v>
                </c:pt>
                <c:pt idx="79">
                  <c:v>1999</c:v>
                </c:pt>
                <c:pt idx="80">
                  <c:v>2000</c:v>
                </c:pt>
                <c:pt idx="81">
                  <c:v>2001</c:v>
                </c:pt>
                <c:pt idx="82">
                  <c:v>2002</c:v>
                </c:pt>
                <c:pt idx="83">
                  <c:v>2003</c:v>
                </c:pt>
                <c:pt idx="84">
                  <c:v>2004</c:v>
                </c:pt>
                <c:pt idx="85">
                  <c:v>2005</c:v>
                </c:pt>
                <c:pt idx="86">
                  <c:v>2006</c:v>
                </c:pt>
                <c:pt idx="87">
                  <c:v>2007</c:v>
                </c:pt>
                <c:pt idx="88">
                  <c:v>2008</c:v>
                </c:pt>
                <c:pt idx="89">
                  <c:v>2009</c:v>
                </c:pt>
                <c:pt idx="90">
                  <c:v>2010</c:v>
                </c:pt>
                <c:pt idx="91">
                  <c:v>2011</c:v>
                </c:pt>
                <c:pt idx="92">
                  <c:v>2012</c:v>
                </c:pt>
                <c:pt idx="93">
                  <c:v>2013</c:v>
                </c:pt>
                <c:pt idx="94">
                  <c:v>2014</c:v>
                </c:pt>
                <c:pt idx="95">
                  <c:v>2015</c:v>
                </c:pt>
                <c:pt idx="96">
                  <c:v>2016</c:v>
                </c:pt>
                <c:pt idx="97">
                  <c:v>2017</c:v>
                </c:pt>
                <c:pt idx="98">
                  <c:v>2018</c:v>
                </c:pt>
                <c:pt idx="99">
                  <c:v>2019</c:v>
                </c:pt>
                <c:pt idx="100">
                  <c:v>2020</c:v>
                </c:pt>
              </c:numCache>
            </c:numRef>
          </c:cat>
          <c:val>
            <c:numRef>
              <c:f>'F1-PSZ'!$C$38:$C$138</c:f>
              <c:numCache>
                <c:formatCode>0.000</c:formatCode>
                <c:ptCount val="101"/>
                <c:pt idx="2">
                  <c:v>2.3756734268379463E-2</c:v>
                </c:pt>
                <c:pt idx="3">
                  <c:v>2.1331270457039007E-2</c:v>
                </c:pt>
                <c:pt idx="4">
                  <c:v>2.4245232647264251E-2</c:v>
                </c:pt>
                <c:pt idx="5">
                  <c:v>1.6051211819229989E-2</c:v>
                </c:pt>
                <c:pt idx="6">
                  <c:v>1.5436986584973911E-2</c:v>
                </c:pt>
                <c:pt idx="7">
                  <c:v>1.9322068743882818E-2</c:v>
                </c:pt>
                <c:pt idx="8">
                  <c:v>1.5795639858248361E-2</c:v>
                </c:pt>
                <c:pt idx="9">
                  <c:v>1.3518580954448576E-2</c:v>
                </c:pt>
                <c:pt idx="10">
                  <c:v>2.2681491445380699E-2</c:v>
                </c:pt>
                <c:pt idx="11">
                  <c:v>3.2636776296390377E-2</c:v>
                </c:pt>
                <c:pt idx="12">
                  <c:v>5.4331278781008734E-2</c:v>
                </c:pt>
                <c:pt idx="13">
                  <c:v>3.0634123253950134E-2</c:v>
                </c:pt>
                <c:pt idx="14">
                  <c:v>3.2285858461641233E-2</c:v>
                </c:pt>
                <c:pt idx="15">
                  <c:v>2.9730105670118832E-2</c:v>
                </c:pt>
                <c:pt idx="16">
                  <c:v>3.2579922335056903E-2</c:v>
                </c:pt>
                <c:pt idx="17">
                  <c:v>3.0124824241949309E-2</c:v>
                </c:pt>
                <c:pt idx="18">
                  <c:v>2.26947958266643E-2</c:v>
                </c:pt>
                <c:pt idx="19">
                  <c:v>2.9913629509930095E-2</c:v>
                </c:pt>
                <c:pt idx="20">
                  <c:v>2.4988186091767374E-2</c:v>
                </c:pt>
                <c:pt idx="21">
                  <c:v>1.9317033593224123E-2</c:v>
                </c:pt>
                <c:pt idx="22">
                  <c:v>1.412408602738514E-2</c:v>
                </c:pt>
                <c:pt idx="24">
                  <c:v>1.4766753500677663E-2</c:v>
                </c:pt>
                <c:pt idx="25">
                  <c:v>2.1999543961378976E-2</c:v>
                </c:pt>
                <c:pt idx="26">
                  <c:v>2.8533879777129206E-2</c:v>
                </c:pt>
                <c:pt idx="27">
                  <c:v>2.306500232793322E-2</c:v>
                </c:pt>
                <c:pt idx="28">
                  <c:v>2.2197668413803707E-2</c:v>
                </c:pt>
                <c:pt idx="29">
                  <c:v>1.9868089569774577E-2</c:v>
                </c:pt>
                <c:pt idx="30">
                  <c:v>2.0211812527194666E-2</c:v>
                </c:pt>
                <c:pt idx="32">
                  <c:v>2.3590241063239609E-2</c:v>
                </c:pt>
                <c:pt idx="33">
                  <c:v>2.3309646406710825E-2</c:v>
                </c:pt>
                <c:pt idx="34">
                  <c:v>3.2670001931279648E-2</c:v>
                </c:pt>
                <c:pt idx="36">
                  <c:v>3.4314850866706305E-2</c:v>
                </c:pt>
                <c:pt idx="38">
                  <c:v>4.433842998158849E-2</c:v>
                </c:pt>
                <c:pt idx="40">
                  <c:v>4.1725490349618033E-2</c:v>
                </c:pt>
                <c:pt idx="42">
                  <c:v>3.986715710484029E-2</c:v>
                </c:pt>
                <c:pt idx="44">
                  <c:v>3.7480026206148293E-2</c:v>
                </c:pt>
                <c:pt idx="46">
                  <c:v>3.5185497790277007E-2</c:v>
                </c:pt>
                <c:pt idx="48">
                  <c:v>4.1172658171999846E-2</c:v>
                </c:pt>
                <c:pt idx="50">
                  <c:v>3.6238996830626341E-2</c:v>
                </c:pt>
                <c:pt idx="52">
                  <c:v>3.7305072508115433E-2</c:v>
                </c:pt>
                <c:pt idx="53">
                  <c:v>3.0583616345937648E-2</c:v>
                </c:pt>
                <c:pt idx="54">
                  <c:v>3.113819156567502E-2</c:v>
                </c:pt>
                <c:pt idx="55">
                  <c:v>3.165280333783918E-2</c:v>
                </c:pt>
                <c:pt idx="56">
                  <c:v>3.2684392664484592E-2</c:v>
                </c:pt>
                <c:pt idx="57">
                  <c:v>3.1699333851419473E-2</c:v>
                </c:pt>
                <c:pt idx="58">
                  <c:v>2.7743782057893462E-2</c:v>
                </c:pt>
                <c:pt idx="59">
                  <c:v>2.7761799847335344E-2</c:v>
                </c:pt>
                <c:pt idx="60">
                  <c:v>3.3241894779553173E-2</c:v>
                </c:pt>
                <c:pt idx="61">
                  <c:v>3.1280497605217436E-2</c:v>
                </c:pt>
                <c:pt idx="62">
                  <c:v>2.6580982555566159E-2</c:v>
                </c:pt>
                <c:pt idx="63">
                  <c:v>2.6361038497102748E-2</c:v>
                </c:pt>
                <c:pt idx="64">
                  <c:v>2.5046679999413256E-2</c:v>
                </c:pt>
                <c:pt idx="65">
                  <c:v>2.8929969459164307E-2</c:v>
                </c:pt>
                <c:pt idx="66">
                  <c:v>4.3438577067789169E-2</c:v>
                </c:pt>
                <c:pt idx="67">
                  <c:v>2.456279452625432E-2</c:v>
                </c:pt>
                <c:pt idx="68">
                  <c:v>2.0902803738423504E-2</c:v>
                </c:pt>
                <c:pt idx="69">
                  <c:v>2.3572381668701774E-2</c:v>
                </c:pt>
                <c:pt idx="70">
                  <c:v>2.3678513833802421E-2</c:v>
                </c:pt>
                <c:pt idx="71">
                  <c:v>2.3773604421644747E-2</c:v>
                </c:pt>
                <c:pt idx="72">
                  <c:v>1.9120444029501252E-2</c:v>
                </c:pt>
                <c:pt idx="73">
                  <c:v>2.4683776502682466E-2</c:v>
                </c:pt>
                <c:pt idx="74">
                  <c:v>2.599641507492479E-2</c:v>
                </c:pt>
                <c:pt idx="75">
                  <c:v>2.4244792770913372E-2</c:v>
                </c:pt>
                <c:pt idx="76">
                  <c:v>3.2094670735144951E-2</c:v>
                </c:pt>
                <c:pt idx="77">
                  <c:v>3.7158876078655242E-2</c:v>
                </c:pt>
                <c:pt idx="78">
                  <c:v>3.5228565378615954E-2</c:v>
                </c:pt>
                <c:pt idx="79">
                  <c:v>3.9953556435410882E-2</c:v>
                </c:pt>
                <c:pt idx="80">
                  <c:v>4.1947793588467487E-2</c:v>
                </c:pt>
                <c:pt idx="81">
                  <c:v>3.7985963262990571E-2</c:v>
                </c:pt>
                <c:pt idx="82">
                  <c:v>3.1541232162729832E-2</c:v>
                </c:pt>
                <c:pt idx="83">
                  <c:v>3.2997928249502137E-2</c:v>
                </c:pt>
                <c:pt idx="84">
                  <c:v>3.9038237245964322E-2</c:v>
                </c:pt>
                <c:pt idx="85">
                  <c:v>4.0501197344552702E-2</c:v>
                </c:pt>
                <c:pt idx="86">
                  <c:v>4.1074573452825953E-2</c:v>
                </c:pt>
                <c:pt idx="87">
                  <c:v>4.5338684182718414E-2</c:v>
                </c:pt>
                <c:pt idx="88">
                  <c:v>3.2608420468043804E-2</c:v>
                </c:pt>
                <c:pt idx="89">
                  <c:v>2.5337156303296447E-2</c:v>
                </c:pt>
                <c:pt idx="90">
                  <c:v>2.6802615573886343E-2</c:v>
                </c:pt>
                <c:pt idx="91">
                  <c:v>2.8925164527472746E-2</c:v>
                </c:pt>
                <c:pt idx="92">
                  <c:v>4.3738373462495532E-2</c:v>
                </c:pt>
                <c:pt idx="93">
                  <c:v>3.9260713571173569E-2</c:v>
                </c:pt>
                <c:pt idx="94">
                  <c:v>4.0350072408668447E-2</c:v>
                </c:pt>
              </c:numCache>
            </c:numRef>
          </c:val>
          <c:smooth val="0"/>
        </c:ser>
        <c:dLbls>
          <c:showLegendKey val="0"/>
          <c:showVal val="0"/>
          <c:showCatName val="0"/>
          <c:showSerName val="0"/>
          <c:showPercent val="0"/>
          <c:showBubbleSize val="0"/>
        </c:dLbls>
        <c:smooth val="0"/>
        <c:axId val="491944464"/>
        <c:axId val="491947600"/>
      </c:lineChart>
      <c:catAx>
        <c:axId val="491944464"/>
        <c:scaling>
          <c:orientation val="minMax"/>
        </c:scaling>
        <c:delete val="0"/>
        <c:axPos val="b"/>
        <c:majorGridlines>
          <c:spPr>
            <a:ln w="6350">
              <a:solidFill>
                <a:schemeClr val="bg1">
                  <a:lumMod val="65000"/>
                </a:schemeClr>
              </a:solidFill>
              <a:prstDash val="sysDash"/>
            </a:ln>
          </c:spPr>
        </c:majorGridlines>
        <c:numFmt formatCode="General"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491947600"/>
        <c:crossesAt val="0"/>
        <c:auto val="1"/>
        <c:lblAlgn val="ctr"/>
        <c:lblOffset val="100"/>
        <c:tickLblSkip val="20"/>
        <c:tickMarkSkip val="20"/>
        <c:noMultiLvlLbl val="0"/>
      </c:catAx>
      <c:valAx>
        <c:axId val="491947600"/>
        <c:scaling>
          <c:orientation val="minMax"/>
          <c:max val="0.20001000000000002"/>
          <c:min val="0"/>
        </c:scaling>
        <c:delete val="0"/>
        <c:axPos val="l"/>
        <c:majorGridlines>
          <c:spPr>
            <a:ln w="6350">
              <a:solidFill>
                <a:schemeClr val="bg1">
                  <a:lumMod val="65000"/>
                </a:schemeClr>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en-US"/>
          </a:p>
        </c:txPr>
        <c:crossAx val="491944464"/>
        <c:crosses val="autoZero"/>
        <c:crossBetween val="midCat"/>
        <c:majorUnit val="0.05"/>
        <c:minorUnit val="0.05"/>
      </c:valAx>
      <c:spPr>
        <a:solidFill>
          <a:srgbClr val="FFFFFF"/>
        </a:solidFill>
        <a:ln w="3175">
          <a:noFill/>
          <a:prstDash val="solid"/>
        </a:ln>
      </c:spPr>
    </c:plotArea>
    <c:plotVisOnly val="1"/>
    <c:dispBlanksAs val="span"/>
    <c:showDLblsOverMax val="0"/>
  </c:chart>
  <c:spPr>
    <a:solidFill>
      <a:schemeClr val="bg1"/>
    </a:solidFill>
    <a:ln w="9525">
      <a:noFill/>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000000000000866" r="0.75000000000000866" t="1" header="0.5" footer="0.5"/>
    <c:pageSetup orientation="landscape" verticalDpi="96"/>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a:pPr>
            <a:r>
              <a:rPr lang="en-US" sz="1300" b="1"/>
              <a:t>Top 0.1% share</a:t>
            </a:r>
          </a:p>
        </c:rich>
      </c:tx>
      <c:layout>
        <c:manualLayout>
          <c:xMode val="edge"/>
          <c:yMode val="edge"/>
          <c:x val="0.41215162919449883"/>
          <c:y val="0"/>
        </c:manualLayout>
      </c:layout>
      <c:overlay val="0"/>
    </c:title>
    <c:autoTitleDeleted val="0"/>
    <c:plotArea>
      <c:layout>
        <c:manualLayout>
          <c:layoutTarget val="inner"/>
          <c:xMode val="edge"/>
          <c:yMode val="edge"/>
          <c:x val="0.15110888916663198"/>
          <c:y val="5.407878502366692E-2"/>
          <c:w val="0.80338828016868247"/>
          <c:h val="0.88280615564080134"/>
        </c:manualLayout>
      </c:layout>
      <c:lineChart>
        <c:grouping val="standard"/>
        <c:varyColors val="0"/>
        <c:ser>
          <c:idx val="0"/>
          <c:order val="0"/>
          <c:tx>
            <c:v>Duq</c:v>
          </c:tx>
          <c:spPr>
            <a:ln w="25400">
              <a:solidFill>
                <a:schemeClr val="bg1">
                  <a:lumMod val="65000"/>
                </a:schemeClr>
              </a:solidFill>
              <a:prstDash val="solid"/>
            </a:ln>
          </c:spPr>
          <c:marker>
            <c:symbol val="none"/>
          </c:marker>
          <c:dPt>
            <c:idx val="54"/>
            <c:bubble3D val="0"/>
            <c:spPr>
              <a:ln w="25400">
                <a:solidFill>
                  <a:schemeClr val="bg1">
                    <a:lumMod val="65000"/>
                  </a:schemeClr>
                </a:solidFill>
                <a:prstDash val="solid"/>
              </a:ln>
            </c:spPr>
          </c:dPt>
          <c:cat>
            <c:numRef>
              <c:f>'F1-PSZ'!$A$38:$A$138</c:f>
              <c:numCache>
                <c:formatCode>General</c:formatCode>
                <c:ptCount val="101"/>
                <c:pt idx="0">
                  <c:v>1920</c:v>
                </c:pt>
                <c:pt idx="1">
                  <c:v>1921</c:v>
                </c:pt>
                <c:pt idx="2">
                  <c:v>1922</c:v>
                </c:pt>
                <c:pt idx="3">
                  <c:v>1923</c:v>
                </c:pt>
                <c:pt idx="4">
                  <c:v>1924</c:v>
                </c:pt>
                <c:pt idx="5">
                  <c:v>1925</c:v>
                </c:pt>
                <c:pt idx="6">
                  <c:v>1926</c:v>
                </c:pt>
                <c:pt idx="7">
                  <c:v>1927</c:v>
                </c:pt>
                <c:pt idx="8">
                  <c:v>1928</c:v>
                </c:pt>
                <c:pt idx="9">
                  <c:v>1929</c:v>
                </c:pt>
                <c:pt idx="10">
                  <c:v>1930</c:v>
                </c:pt>
                <c:pt idx="11">
                  <c:v>1931</c:v>
                </c:pt>
                <c:pt idx="12">
                  <c:v>1932</c:v>
                </c:pt>
                <c:pt idx="13">
                  <c:v>1933</c:v>
                </c:pt>
                <c:pt idx="14">
                  <c:v>1934</c:v>
                </c:pt>
                <c:pt idx="15">
                  <c:v>1935</c:v>
                </c:pt>
                <c:pt idx="16">
                  <c:v>1936</c:v>
                </c:pt>
                <c:pt idx="17">
                  <c:v>1937</c:v>
                </c:pt>
                <c:pt idx="18">
                  <c:v>1938</c:v>
                </c:pt>
                <c:pt idx="19">
                  <c:v>1939</c:v>
                </c:pt>
                <c:pt idx="20">
                  <c:v>1940</c:v>
                </c:pt>
                <c:pt idx="21">
                  <c:v>1941</c:v>
                </c:pt>
                <c:pt idx="22">
                  <c:v>1942</c:v>
                </c:pt>
                <c:pt idx="23">
                  <c:v>1943</c:v>
                </c:pt>
                <c:pt idx="24">
                  <c:v>1944</c:v>
                </c:pt>
                <c:pt idx="25">
                  <c:v>1945</c:v>
                </c:pt>
                <c:pt idx="26">
                  <c:v>1946</c:v>
                </c:pt>
                <c:pt idx="27">
                  <c:v>1947</c:v>
                </c:pt>
                <c:pt idx="28">
                  <c:v>1948</c:v>
                </c:pt>
                <c:pt idx="29">
                  <c:v>1949</c:v>
                </c:pt>
                <c:pt idx="30">
                  <c:v>1950</c:v>
                </c:pt>
                <c:pt idx="31">
                  <c:v>1951</c:v>
                </c:pt>
                <c:pt idx="32">
                  <c:v>1952</c:v>
                </c:pt>
                <c:pt idx="33">
                  <c:v>1953</c:v>
                </c:pt>
                <c:pt idx="34">
                  <c:v>1954</c:v>
                </c:pt>
                <c:pt idx="35">
                  <c:v>1955</c:v>
                </c:pt>
                <c:pt idx="36">
                  <c:v>1956</c:v>
                </c:pt>
                <c:pt idx="37">
                  <c:v>1957</c:v>
                </c:pt>
                <c:pt idx="38">
                  <c:v>1958</c:v>
                </c:pt>
                <c:pt idx="39">
                  <c:v>1959</c:v>
                </c:pt>
                <c:pt idx="40">
                  <c:v>1960</c:v>
                </c:pt>
                <c:pt idx="41">
                  <c:v>1961</c:v>
                </c:pt>
                <c:pt idx="42">
                  <c:v>1962</c:v>
                </c:pt>
                <c:pt idx="43">
                  <c:v>1963</c:v>
                </c:pt>
                <c:pt idx="44">
                  <c:v>1964</c:v>
                </c:pt>
                <c:pt idx="45">
                  <c:v>1965</c:v>
                </c:pt>
                <c:pt idx="46">
                  <c:v>1966</c:v>
                </c:pt>
                <c:pt idx="47">
                  <c:v>1967</c:v>
                </c:pt>
                <c:pt idx="48">
                  <c:v>1968</c:v>
                </c:pt>
                <c:pt idx="49">
                  <c:v>1969</c:v>
                </c:pt>
                <c:pt idx="50">
                  <c:v>1970</c:v>
                </c:pt>
                <c:pt idx="51">
                  <c:v>1971</c:v>
                </c:pt>
                <c:pt idx="52">
                  <c:v>1972</c:v>
                </c:pt>
                <c:pt idx="53">
                  <c:v>1973</c:v>
                </c:pt>
                <c:pt idx="54">
                  <c:v>1974</c:v>
                </c:pt>
                <c:pt idx="55">
                  <c:v>1975</c:v>
                </c:pt>
                <c:pt idx="56">
                  <c:v>1976</c:v>
                </c:pt>
                <c:pt idx="57">
                  <c:v>1977</c:v>
                </c:pt>
                <c:pt idx="58">
                  <c:v>1978</c:v>
                </c:pt>
                <c:pt idx="59">
                  <c:v>1979</c:v>
                </c:pt>
                <c:pt idx="60">
                  <c:v>1980</c:v>
                </c:pt>
                <c:pt idx="61">
                  <c:v>1981</c:v>
                </c:pt>
                <c:pt idx="62">
                  <c:v>1982</c:v>
                </c:pt>
                <c:pt idx="63">
                  <c:v>1983</c:v>
                </c:pt>
                <c:pt idx="64">
                  <c:v>1984</c:v>
                </c:pt>
                <c:pt idx="65">
                  <c:v>1985</c:v>
                </c:pt>
                <c:pt idx="66">
                  <c:v>1986</c:v>
                </c:pt>
                <c:pt idx="67">
                  <c:v>1987</c:v>
                </c:pt>
                <c:pt idx="68">
                  <c:v>1988</c:v>
                </c:pt>
                <c:pt idx="69">
                  <c:v>1989</c:v>
                </c:pt>
                <c:pt idx="70">
                  <c:v>1990</c:v>
                </c:pt>
                <c:pt idx="71">
                  <c:v>1991</c:v>
                </c:pt>
                <c:pt idx="72">
                  <c:v>1992</c:v>
                </c:pt>
                <c:pt idx="73">
                  <c:v>1993</c:v>
                </c:pt>
                <c:pt idx="74">
                  <c:v>1994</c:v>
                </c:pt>
                <c:pt idx="75">
                  <c:v>1995</c:v>
                </c:pt>
                <c:pt idx="76">
                  <c:v>1996</c:v>
                </c:pt>
                <c:pt idx="77">
                  <c:v>1997</c:v>
                </c:pt>
                <c:pt idx="78">
                  <c:v>1998</c:v>
                </c:pt>
                <c:pt idx="79">
                  <c:v>1999</c:v>
                </c:pt>
                <c:pt idx="80">
                  <c:v>2000</c:v>
                </c:pt>
                <c:pt idx="81">
                  <c:v>2001</c:v>
                </c:pt>
                <c:pt idx="82">
                  <c:v>2002</c:v>
                </c:pt>
                <c:pt idx="83">
                  <c:v>2003</c:v>
                </c:pt>
                <c:pt idx="84">
                  <c:v>2004</c:v>
                </c:pt>
                <c:pt idx="85">
                  <c:v>2005</c:v>
                </c:pt>
                <c:pt idx="86">
                  <c:v>2006</c:v>
                </c:pt>
                <c:pt idx="87">
                  <c:v>2007</c:v>
                </c:pt>
                <c:pt idx="88">
                  <c:v>2008</c:v>
                </c:pt>
                <c:pt idx="89">
                  <c:v>2009</c:v>
                </c:pt>
                <c:pt idx="90">
                  <c:v>2010</c:v>
                </c:pt>
                <c:pt idx="91">
                  <c:v>2011</c:v>
                </c:pt>
                <c:pt idx="92">
                  <c:v>2012</c:v>
                </c:pt>
                <c:pt idx="93">
                  <c:v>2013</c:v>
                </c:pt>
                <c:pt idx="94">
                  <c:v>2014</c:v>
                </c:pt>
                <c:pt idx="95">
                  <c:v>2015</c:v>
                </c:pt>
                <c:pt idx="96">
                  <c:v>2016</c:v>
                </c:pt>
                <c:pt idx="97">
                  <c:v>2017</c:v>
                </c:pt>
                <c:pt idx="98">
                  <c:v>2018</c:v>
                </c:pt>
                <c:pt idx="99">
                  <c:v>2019</c:v>
                </c:pt>
                <c:pt idx="100">
                  <c:v>2020</c:v>
                </c:pt>
              </c:numCache>
            </c:numRef>
          </c:cat>
          <c:val>
            <c:numRef>
              <c:f>'F1-PSZ'!$D$38:$D$138</c:f>
              <c:numCache>
                <c:formatCode>0.000</c:formatCode>
                <c:ptCount val="101"/>
                <c:pt idx="2">
                  <c:v>3.0350007116794586E-2</c:v>
                </c:pt>
                <c:pt idx="3">
                  <c:v>3.2255783677101135E-2</c:v>
                </c:pt>
                <c:pt idx="4">
                  <c:v>3.2178658992052078E-2</c:v>
                </c:pt>
                <c:pt idx="5">
                  <c:v>2.6897955685853958E-2</c:v>
                </c:pt>
                <c:pt idx="6">
                  <c:v>2.9064007103443146E-2</c:v>
                </c:pt>
                <c:pt idx="7">
                  <c:v>2.9656426981091499E-2</c:v>
                </c:pt>
                <c:pt idx="8">
                  <c:v>2.5770574808120728E-2</c:v>
                </c:pt>
                <c:pt idx="9">
                  <c:v>2.5517016649246216E-2</c:v>
                </c:pt>
                <c:pt idx="10">
                  <c:v>3.0839333310723305E-2</c:v>
                </c:pt>
                <c:pt idx="11">
                  <c:v>3.0442750081419945E-2</c:v>
                </c:pt>
                <c:pt idx="12">
                  <c:v>3.3135499805212021E-2</c:v>
                </c:pt>
                <c:pt idx="13">
                  <c:v>2.5761781260371208E-2</c:v>
                </c:pt>
                <c:pt idx="14">
                  <c:v>3.0519535765051842E-2</c:v>
                </c:pt>
                <c:pt idx="15">
                  <c:v>3.1065098941326141E-2</c:v>
                </c:pt>
                <c:pt idx="16">
                  <c:v>3.2578632235527039E-2</c:v>
                </c:pt>
                <c:pt idx="17">
                  <c:v>3.3149532973766327E-2</c:v>
                </c:pt>
                <c:pt idx="18">
                  <c:v>3.0465288087725639E-2</c:v>
                </c:pt>
                <c:pt idx="19">
                  <c:v>3.5564031451940536E-2</c:v>
                </c:pt>
                <c:pt idx="20">
                  <c:v>3.6099828779697418E-2</c:v>
                </c:pt>
                <c:pt idx="21">
                  <c:v>3.2276339828968048E-2</c:v>
                </c:pt>
                <c:pt idx="22">
                  <c:v>2.9717827215790749E-2</c:v>
                </c:pt>
                <c:pt idx="24">
                  <c:v>3.6614902317523956E-2</c:v>
                </c:pt>
                <c:pt idx="25">
                  <c:v>4.6448960900306702E-2</c:v>
                </c:pt>
                <c:pt idx="26">
                  <c:v>4.7385025769472122E-2</c:v>
                </c:pt>
                <c:pt idx="27">
                  <c:v>5.2854083478450775E-2</c:v>
                </c:pt>
                <c:pt idx="28">
                  <c:v>4.326210543513298E-2</c:v>
                </c:pt>
                <c:pt idx="29">
                  <c:v>4.4382881373167038E-2</c:v>
                </c:pt>
                <c:pt idx="30">
                  <c:v>4.271409660577774E-2</c:v>
                </c:pt>
                <c:pt idx="32">
                  <c:v>5.4435480386018753E-2</c:v>
                </c:pt>
                <c:pt idx="33">
                  <c:v>5.7083625346422195E-2</c:v>
                </c:pt>
                <c:pt idx="34">
                  <c:v>6.6292263567447662E-2</c:v>
                </c:pt>
                <c:pt idx="36">
                  <c:v>7.5456604361534119E-2</c:v>
                </c:pt>
                <c:pt idx="38">
                  <c:v>8.3933621644973755E-2</c:v>
                </c:pt>
                <c:pt idx="40">
                  <c:v>8.6391858756542206E-2</c:v>
                </c:pt>
                <c:pt idx="42">
                  <c:v>9.4576247036457062E-2</c:v>
                </c:pt>
                <c:pt idx="44">
                  <c:v>9.6557281911373138E-2</c:v>
                </c:pt>
                <c:pt idx="46">
                  <c:v>8.5845321416854858E-2</c:v>
                </c:pt>
                <c:pt idx="48">
                  <c:v>9.91983562707901E-2</c:v>
                </c:pt>
                <c:pt idx="50">
                  <c:v>8.0435954034328461E-2</c:v>
                </c:pt>
                <c:pt idx="52">
                  <c:v>7.9447925090789795E-2</c:v>
                </c:pt>
                <c:pt idx="53">
                  <c:v>6.695874035358429E-2</c:v>
                </c:pt>
                <c:pt idx="54">
                  <c:v>6.1587277799844742E-2</c:v>
                </c:pt>
                <c:pt idx="55">
                  <c:v>6.5777711570262909E-2</c:v>
                </c:pt>
                <c:pt idx="56">
                  <c:v>6.7635558545589447E-2</c:v>
                </c:pt>
                <c:pt idx="57">
                  <c:v>6.8443074822425842E-2</c:v>
                </c:pt>
                <c:pt idx="58">
                  <c:v>6.4096242189407349E-2</c:v>
                </c:pt>
                <c:pt idx="59">
                  <c:v>7.5463555753231049E-2</c:v>
                </c:pt>
                <c:pt idx="60">
                  <c:v>7.1899525821208954E-2</c:v>
                </c:pt>
                <c:pt idx="61">
                  <c:v>8.0451257526874542E-2</c:v>
                </c:pt>
                <c:pt idx="62">
                  <c:v>5.9816155582666397E-2</c:v>
                </c:pt>
                <c:pt idx="63">
                  <c:v>6.622517853975296E-2</c:v>
                </c:pt>
                <c:pt idx="64">
                  <c:v>5.7889837771654129E-2</c:v>
                </c:pt>
                <c:pt idx="65">
                  <c:v>6.9753624498844147E-2</c:v>
                </c:pt>
                <c:pt idx="66">
                  <c:v>7.5141042470932007E-2</c:v>
                </c:pt>
                <c:pt idx="67">
                  <c:v>3.7539046257734299E-2</c:v>
                </c:pt>
                <c:pt idx="68">
                  <c:v>3.3198237419128418E-2</c:v>
                </c:pt>
                <c:pt idx="69">
                  <c:v>3.5197064280509949E-2</c:v>
                </c:pt>
                <c:pt idx="70">
                  <c:v>3.2312080264091492E-2</c:v>
                </c:pt>
                <c:pt idx="71">
                  <c:v>4.6827960759401321E-2</c:v>
                </c:pt>
                <c:pt idx="72">
                  <c:v>3.0727021396160126E-2</c:v>
                </c:pt>
                <c:pt idx="73">
                  <c:v>4.1154626756906509E-2</c:v>
                </c:pt>
                <c:pt idx="74">
                  <c:v>4.5033946633338928E-2</c:v>
                </c:pt>
                <c:pt idx="75">
                  <c:v>3.8413349539041519E-2</c:v>
                </c:pt>
                <c:pt idx="76">
                  <c:v>4.913034662604332E-2</c:v>
                </c:pt>
                <c:pt idx="77">
                  <c:v>5.7321712374687195E-2</c:v>
                </c:pt>
                <c:pt idx="78">
                  <c:v>5.1965672522783279E-2</c:v>
                </c:pt>
                <c:pt idx="79">
                  <c:v>5.1538269966840744E-2</c:v>
                </c:pt>
                <c:pt idx="80">
                  <c:v>5.3797226399183273E-2</c:v>
                </c:pt>
                <c:pt idx="81">
                  <c:v>4.8725444823503494E-2</c:v>
                </c:pt>
                <c:pt idx="82">
                  <c:v>5.1495131105184555E-2</c:v>
                </c:pt>
                <c:pt idx="83">
                  <c:v>5.2631709724664688E-2</c:v>
                </c:pt>
                <c:pt idx="84">
                  <c:v>5.3260460495948792E-2</c:v>
                </c:pt>
                <c:pt idx="85">
                  <c:v>5.7614456862211227E-2</c:v>
                </c:pt>
                <c:pt idx="86">
                  <c:v>5.5961411446332932E-2</c:v>
                </c:pt>
                <c:pt idx="87">
                  <c:v>4.6173892915248871E-2</c:v>
                </c:pt>
                <c:pt idx="88">
                  <c:v>4.6213582158088684E-2</c:v>
                </c:pt>
                <c:pt idx="89">
                  <c:v>5.9104848653078079E-2</c:v>
                </c:pt>
                <c:pt idx="90">
                  <c:v>5.9766091406345367E-2</c:v>
                </c:pt>
                <c:pt idx="91">
                  <c:v>6.4086958765983582E-2</c:v>
                </c:pt>
                <c:pt idx="92">
                  <c:v>4.5815076678991318E-2</c:v>
                </c:pt>
              </c:numCache>
            </c:numRef>
          </c:val>
          <c:smooth val="0"/>
        </c:ser>
        <c:ser>
          <c:idx val="1"/>
          <c:order val="1"/>
          <c:tx>
            <c:v>PSZ pre-tax</c:v>
          </c:tx>
          <c:spPr>
            <a:ln w="25400">
              <a:solidFill>
                <a:schemeClr val="tx1"/>
              </a:solidFill>
              <a:prstDash val="solid"/>
            </a:ln>
          </c:spPr>
          <c:marker>
            <c:symbol val="none"/>
          </c:marker>
          <c:dPt>
            <c:idx val="1"/>
            <c:bubble3D val="0"/>
          </c:dPt>
          <c:dPt>
            <c:idx val="3"/>
            <c:bubble3D val="0"/>
          </c:dPt>
          <c:dPt>
            <c:idx val="5"/>
            <c:bubble3D val="0"/>
          </c:dPt>
          <c:cat>
            <c:numRef>
              <c:f>'F1-PSZ'!$A$38:$A$138</c:f>
              <c:numCache>
                <c:formatCode>General</c:formatCode>
                <c:ptCount val="101"/>
                <c:pt idx="0">
                  <c:v>1920</c:v>
                </c:pt>
                <c:pt idx="1">
                  <c:v>1921</c:v>
                </c:pt>
                <c:pt idx="2">
                  <c:v>1922</c:v>
                </c:pt>
                <c:pt idx="3">
                  <c:v>1923</c:v>
                </c:pt>
                <c:pt idx="4">
                  <c:v>1924</c:v>
                </c:pt>
                <c:pt idx="5">
                  <c:v>1925</c:v>
                </c:pt>
                <c:pt idx="6">
                  <c:v>1926</c:v>
                </c:pt>
                <c:pt idx="7">
                  <c:v>1927</c:v>
                </c:pt>
                <c:pt idx="8">
                  <c:v>1928</c:v>
                </c:pt>
                <c:pt idx="9">
                  <c:v>1929</c:v>
                </c:pt>
                <c:pt idx="10">
                  <c:v>1930</c:v>
                </c:pt>
                <c:pt idx="11">
                  <c:v>1931</c:v>
                </c:pt>
                <c:pt idx="12">
                  <c:v>1932</c:v>
                </c:pt>
                <c:pt idx="13">
                  <c:v>1933</c:v>
                </c:pt>
                <c:pt idx="14">
                  <c:v>1934</c:v>
                </c:pt>
                <c:pt idx="15">
                  <c:v>1935</c:v>
                </c:pt>
                <c:pt idx="16">
                  <c:v>1936</c:v>
                </c:pt>
                <c:pt idx="17">
                  <c:v>1937</c:v>
                </c:pt>
                <c:pt idx="18">
                  <c:v>1938</c:v>
                </c:pt>
                <c:pt idx="19">
                  <c:v>1939</c:v>
                </c:pt>
                <c:pt idx="20">
                  <c:v>1940</c:v>
                </c:pt>
                <c:pt idx="21">
                  <c:v>1941</c:v>
                </c:pt>
                <c:pt idx="22">
                  <c:v>1942</c:v>
                </c:pt>
                <c:pt idx="23">
                  <c:v>1943</c:v>
                </c:pt>
                <c:pt idx="24">
                  <c:v>1944</c:v>
                </c:pt>
                <c:pt idx="25">
                  <c:v>1945</c:v>
                </c:pt>
                <c:pt idx="26">
                  <c:v>1946</c:v>
                </c:pt>
                <c:pt idx="27">
                  <c:v>1947</c:v>
                </c:pt>
                <c:pt idx="28">
                  <c:v>1948</c:v>
                </c:pt>
                <c:pt idx="29">
                  <c:v>1949</c:v>
                </c:pt>
                <c:pt idx="30">
                  <c:v>1950</c:v>
                </c:pt>
                <c:pt idx="31">
                  <c:v>1951</c:v>
                </c:pt>
                <c:pt idx="32">
                  <c:v>1952</c:v>
                </c:pt>
                <c:pt idx="33">
                  <c:v>1953</c:v>
                </c:pt>
                <c:pt idx="34">
                  <c:v>1954</c:v>
                </c:pt>
                <c:pt idx="35">
                  <c:v>1955</c:v>
                </c:pt>
                <c:pt idx="36">
                  <c:v>1956</c:v>
                </c:pt>
                <c:pt idx="37">
                  <c:v>1957</c:v>
                </c:pt>
                <c:pt idx="38">
                  <c:v>1958</c:v>
                </c:pt>
                <c:pt idx="39">
                  <c:v>1959</c:v>
                </c:pt>
                <c:pt idx="40">
                  <c:v>1960</c:v>
                </c:pt>
                <c:pt idx="41">
                  <c:v>1961</c:v>
                </c:pt>
                <c:pt idx="42">
                  <c:v>1962</c:v>
                </c:pt>
                <c:pt idx="43">
                  <c:v>1963</c:v>
                </c:pt>
                <c:pt idx="44">
                  <c:v>1964</c:v>
                </c:pt>
                <c:pt idx="45">
                  <c:v>1965</c:v>
                </c:pt>
                <c:pt idx="46">
                  <c:v>1966</c:v>
                </c:pt>
                <c:pt idx="47">
                  <c:v>1967</c:v>
                </c:pt>
                <c:pt idx="48">
                  <c:v>1968</c:v>
                </c:pt>
                <c:pt idx="49">
                  <c:v>1969</c:v>
                </c:pt>
                <c:pt idx="50">
                  <c:v>1970</c:v>
                </c:pt>
                <c:pt idx="51">
                  <c:v>1971</c:v>
                </c:pt>
                <c:pt idx="52">
                  <c:v>1972</c:v>
                </c:pt>
                <c:pt idx="53">
                  <c:v>1973</c:v>
                </c:pt>
                <c:pt idx="54">
                  <c:v>1974</c:v>
                </c:pt>
                <c:pt idx="55">
                  <c:v>1975</c:v>
                </c:pt>
                <c:pt idx="56">
                  <c:v>1976</c:v>
                </c:pt>
                <c:pt idx="57">
                  <c:v>1977</c:v>
                </c:pt>
                <c:pt idx="58">
                  <c:v>1978</c:v>
                </c:pt>
                <c:pt idx="59">
                  <c:v>1979</c:v>
                </c:pt>
                <c:pt idx="60">
                  <c:v>1980</c:v>
                </c:pt>
                <c:pt idx="61">
                  <c:v>1981</c:v>
                </c:pt>
                <c:pt idx="62">
                  <c:v>1982</c:v>
                </c:pt>
                <c:pt idx="63">
                  <c:v>1983</c:v>
                </c:pt>
                <c:pt idx="64">
                  <c:v>1984</c:v>
                </c:pt>
                <c:pt idx="65">
                  <c:v>1985</c:v>
                </c:pt>
                <c:pt idx="66">
                  <c:v>1986</c:v>
                </c:pt>
                <c:pt idx="67">
                  <c:v>1987</c:v>
                </c:pt>
                <c:pt idx="68">
                  <c:v>1988</c:v>
                </c:pt>
                <c:pt idx="69">
                  <c:v>1989</c:v>
                </c:pt>
                <c:pt idx="70">
                  <c:v>1990</c:v>
                </c:pt>
                <c:pt idx="71">
                  <c:v>1991</c:v>
                </c:pt>
                <c:pt idx="72">
                  <c:v>1992</c:v>
                </c:pt>
                <c:pt idx="73">
                  <c:v>1993</c:v>
                </c:pt>
                <c:pt idx="74">
                  <c:v>1994</c:v>
                </c:pt>
                <c:pt idx="75">
                  <c:v>1995</c:v>
                </c:pt>
                <c:pt idx="76">
                  <c:v>1996</c:v>
                </c:pt>
                <c:pt idx="77">
                  <c:v>1997</c:v>
                </c:pt>
                <c:pt idx="78">
                  <c:v>1998</c:v>
                </c:pt>
                <c:pt idx="79">
                  <c:v>1999</c:v>
                </c:pt>
                <c:pt idx="80">
                  <c:v>2000</c:v>
                </c:pt>
                <c:pt idx="81">
                  <c:v>2001</c:v>
                </c:pt>
                <c:pt idx="82">
                  <c:v>2002</c:v>
                </c:pt>
                <c:pt idx="83">
                  <c:v>2003</c:v>
                </c:pt>
                <c:pt idx="84">
                  <c:v>2004</c:v>
                </c:pt>
                <c:pt idx="85">
                  <c:v>2005</c:v>
                </c:pt>
                <c:pt idx="86">
                  <c:v>2006</c:v>
                </c:pt>
                <c:pt idx="87">
                  <c:v>2007</c:v>
                </c:pt>
                <c:pt idx="88">
                  <c:v>2008</c:v>
                </c:pt>
                <c:pt idx="89">
                  <c:v>2009</c:v>
                </c:pt>
                <c:pt idx="90">
                  <c:v>2010</c:v>
                </c:pt>
                <c:pt idx="91">
                  <c:v>2011</c:v>
                </c:pt>
                <c:pt idx="92">
                  <c:v>2012</c:v>
                </c:pt>
                <c:pt idx="93">
                  <c:v>2013</c:v>
                </c:pt>
                <c:pt idx="94">
                  <c:v>2014</c:v>
                </c:pt>
                <c:pt idx="95">
                  <c:v>2015</c:v>
                </c:pt>
                <c:pt idx="96">
                  <c:v>2016</c:v>
                </c:pt>
                <c:pt idx="97">
                  <c:v>2017</c:v>
                </c:pt>
                <c:pt idx="98">
                  <c:v>2018</c:v>
                </c:pt>
                <c:pt idx="99">
                  <c:v>2019</c:v>
                </c:pt>
                <c:pt idx="100">
                  <c:v>2020</c:v>
                </c:pt>
              </c:numCache>
            </c:numRef>
          </c:cat>
          <c:val>
            <c:numRef>
              <c:f>'F1-PSZ'!$E$38:$E$138</c:f>
              <c:numCache>
                <c:formatCode>0.000</c:formatCode>
                <c:ptCount val="101"/>
                <c:pt idx="2">
                  <c:v>2.1251914728282719E-2</c:v>
                </c:pt>
                <c:pt idx="3">
                  <c:v>1.990115635952935E-2</c:v>
                </c:pt>
                <c:pt idx="4">
                  <c:v>2.1409866453935989E-2</c:v>
                </c:pt>
                <c:pt idx="5">
                  <c:v>1.6695623232271195E-2</c:v>
                </c:pt>
                <c:pt idx="6">
                  <c:v>1.6372407755276049E-2</c:v>
                </c:pt>
                <c:pt idx="7">
                  <c:v>1.934306499615426E-2</c:v>
                </c:pt>
                <c:pt idx="8">
                  <c:v>1.6541472511698126E-2</c:v>
                </c:pt>
                <c:pt idx="9">
                  <c:v>1.4764242502307038E-2</c:v>
                </c:pt>
                <c:pt idx="10">
                  <c:v>2.0337081823937758E-2</c:v>
                </c:pt>
                <c:pt idx="11">
                  <c:v>2.5880256677141306E-2</c:v>
                </c:pt>
                <c:pt idx="12">
                  <c:v>3.4226052242014852E-2</c:v>
                </c:pt>
                <c:pt idx="13">
                  <c:v>2.3363957509501439E-2</c:v>
                </c:pt>
                <c:pt idx="14">
                  <c:v>2.1131191804336605E-2</c:v>
                </c:pt>
                <c:pt idx="15">
                  <c:v>2.0138613638516323E-2</c:v>
                </c:pt>
                <c:pt idx="16">
                  <c:v>2.1180560142644737E-2</c:v>
                </c:pt>
                <c:pt idx="17">
                  <c:v>2.0113623438206964E-2</c:v>
                </c:pt>
                <c:pt idx="18">
                  <c:v>1.7979046877553216E-2</c:v>
                </c:pt>
                <c:pt idx="19">
                  <c:v>2.0265516605204585E-2</c:v>
                </c:pt>
                <c:pt idx="20">
                  <c:v>1.8492948688934682E-2</c:v>
                </c:pt>
                <c:pt idx="21">
                  <c:v>1.4825014910020111E-2</c:v>
                </c:pt>
                <c:pt idx="22">
                  <c:v>1.1829896648532798E-2</c:v>
                </c:pt>
                <c:pt idx="24">
                  <c:v>1.3693775439459946E-2</c:v>
                </c:pt>
                <c:pt idx="25">
                  <c:v>1.944216694630431E-2</c:v>
                </c:pt>
                <c:pt idx="26">
                  <c:v>2.4071481512799892E-2</c:v>
                </c:pt>
                <c:pt idx="27">
                  <c:v>2.356702126020065E-2</c:v>
                </c:pt>
                <c:pt idx="28">
                  <c:v>1.7902262501109406E-2</c:v>
                </c:pt>
                <c:pt idx="29">
                  <c:v>1.8449244333277062E-2</c:v>
                </c:pt>
                <c:pt idx="30">
                  <c:v>1.8154182949153608E-2</c:v>
                </c:pt>
                <c:pt idx="32">
                  <c:v>2.0607915616752945E-2</c:v>
                </c:pt>
                <c:pt idx="33">
                  <c:v>2.1293734436082574E-2</c:v>
                </c:pt>
                <c:pt idx="34">
                  <c:v>2.5048761732300022E-2</c:v>
                </c:pt>
                <c:pt idx="36">
                  <c:v>2.5979495969161371E-2</c:v>
                </c:pt>
                <c:pt idx="38">
                  <c:v>3.156263032808701E-2</c:v>
                </c:pt>
                <c:pt idx="40">
                  <c:v>2.8419387424692105E-2</c:v>
                </c:pt>
                <c:pt idx="42">
                  <c:v>2.7511162441313085E-2</c:v>
                </c:pt>
                <c:pt idx="44">
                  <c:v>2.6240824230307831E-2</c:v>
                </c:pt>
                <c:pt idx="46">
                  <c:v>2.449785213428312E-2</c:v>
                </c:pt>
                <c:pt idx="48">
                  <c:v>3.0840399861216228E-2</c:v>
                </c:pt>
                <c:pt idx="50">
                  <c:v>2.6509448035380412E-2</c:v>
                </c:pt>
                <c:pt idx="52">
                  <c:v>2.8041669152557312E-2</c:v>
                </c:pt>
                <c:pt idx="53">
                  <c:v>2.3575811984120409E-2</c:v>
                </c:pt>
                <c:pt idx="54">
                  <c:v>2.4216842290901049E-2</c:v>
                </c:pt>
                <c:pt idx="55">
                  <c:v>2.3790431421269714E-2</c:v>
                </c:pt>
                <c:pt idx="56">
                  <c:v>2.495167082151737E-2</c:v>
                </c:pt>
                <c:pt idx="57">
                  <c:v>2.4475947822326833E-2</c:v>
                </c:pt>
                <c:pt idx="58">
                  <c:v>2.2540785776648649E-2</c:v>
                </c:pt>
                <c:pt idx="59">
                  <c:v>2.3262059986059899E-2</c:v>
                </c:pt>
                <c:pt idx="60">
                  <c:v>2.6092749444358531E-2</c:v>
                </c:pt>
                <c:pt idx="61">
                  <c:v>2.5247772222483665E-2</c:v>
                </c:pt>
                <c:pt idx="62">
                  <c:v>2.2148412156802039E-2</c:v>
                </c:pt>
                <c:pt idx="63">
                  <c:v>2.3331010821818023E-2</c:v>
                </c:pt>
                <c:pt idx="64">
                  <c:v>2.036116894112976E-2</c:v>
                </c:pt>
                <c:pt idx="65">
                  <c:v>2.6578632620525448E-2</c:v>
                </c:pt>
                <c:pt idx="66">
                  <c:v>3.2459699445464389E-2</c:v>
                </c:pt>
                <c:pt idx="67">
                  <c:v>1.9749337678913185E-2</c:v>
                </c:pt>
                <c:pt idx="68">
                  <c:v>1.7438968307508611E-2</c:v>
                </c:pt>
                <c:pt idx="69">
                  <c:v>1.9673014490935559E-2</c:v>
                </c:pt>
                <c:pt idx="70">
                  <c:v>1.871123049989358E-2</c:v>
                </c:pt>
                <c:pt idx="71">
                  <c:v>1.9857074092465461E-2</c:v>
                </c:pt>
                <c:pt idx="72">
                  <c:v>1.674880049354183E-2</c:v>
                </c:pt>
                <c:pt idx="73">
                  <c:v>2.1273562614635932E-2</c:v>
                </c:pt>
                <c:pt idx="74">
                  <c:v>2.1997094844346927E-2</c:v>
                </c:pt>
                <c:pt idx="75">
                  <c:v>2.1031733267648556E-2</c:v>
                </c:pt>
                <c:pt idx="76">
                  <c:v>2.5816271109906256E-2</c:v>
                </c:pt>
                <c:pt idx="77">
                  <c:v>2.890516432105673E-2</c:v>
                </c:pt>
                <c:pt idx="78">
                  <c:v>2.8531176311073127E-2</c:v>
                </c:pt>
                <c:pt idx="79">
                  <c:v>3.1640181936290132E-2</c:v>
                </c:pt>
                <c:pt idx="80">
                  <c:v>3.2840647325921533E-2</c:v>
                </c:pt>
                <c:pt idx="81">
                  <c:v>2.8528305316155855E-2</c:v>
                </c:pt>
                <c:pt idx="82">
                  <c:v>2.4790887636535187E-2</c:v>
                </c:pt>
                <c:pt idx="83">
                  <c:v>2.5954375245682053E-2</c:v>
                </c:pt>
                <c:pt idx="84">
                  <c:v>2.967138941752314E-2</c:v>
                </c:pt>
                <c:pt idx="85">
                  <c:v>3.2374635280475371E-2</c:v>
                </c:pt>
                <c:pt idx="86">
                  <c:v>3.0582579084181508E-2</c:v>
                </c:pt>
                <c:pt idx="87">
                  <c:v>3.4100048701327983E-2</c:v>
                </c:pt>
                <c:pt idx="88">
                  <c:v>2.5575428278428972E-2</c:v>
                </c:pt>
                <c:pt idx="89">
                  <c:v>2.1408476452096415E-2</c:v>
                </c:pt>
                <c:pt idx="90">
                  <c:v>2.2727594029702251E-2</c:v>
                </c:pt>
                <c:pt idx="91">
                  <c:v>2.2886516724966208E-2</c:v>
                </c:pt>
                <c:pt idx="92">
                  <c:v>3.1872561768351321E-2</c:v>
                </c:pt>
                <c:pt idx="93">
                  <c:v>2.9267267228611196E-2</c:v>
                </c:pt>
                <c:pt idx="94">
                  <c:v>3.0514589424520913E-2</c:v>
                </c:pt>
              </c:numCache>
            </c:numRef>
          </c:val>
          <c:smooth val="0"/>
        </c:ser>
        <c:dLbls>
          <c:showLegendKey val="0"/>
          <c:showVal val="0"/>
          <c:showCatName val="0"/>
          <c:showSerName val="0"/>
          <c:showPercent val="0"/>
          <c:showBubbleSize val="0"/>
        </c:dLbls>
        <c:smooth val="0"/>
        <c:axId val="491943288"/>
        <c:axId val="491943680"/>
      </c:lineChart>
      <c:catAx>
        <c:axId val="491943288"/>
        <c:scaling>
          <c:orientation val="minMax"/>
        </c:scaling>
        <c:delete val="0"/>
        <c:axPos val="b"/>
        <c:majorGridlines>
          <c:spPr>
            <a:ln w="6350">
              <a:solidFill>
                <a:schemeClr val="bg1">
                  <a:lumMod val="65000"/>
                </a:schemeClr>
              </a:solidFill>
              <a:prstDash val="sysDash"/>
            </a:ln>
          </c:spPr>
        </c:majorGridlines>
        <c:numFmt formatCode="General"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491943680"/>
        <c:crossesAt val="0"/>
        <c:auto val="1"/>
        <c:lblAlgn val="ctr"/>
        <c:lblOffset val="100"/>
        <c:tickLblSkip val="20"/>
        <c:tickMarkSkip val="20"/>
        <c:noMultiLvlLbl val="0"/>
      </c:catAx>
      <c:valAx>
        <c:axId val="491943680"/>
        <c:scaling>
          <c:orientation val="minMax"/>
          <c:max val="0.1"/>
          <c:min val="0"/>
        </c:scaling>
        <c:delete val="0"/>
        <c:axPos val="l"/>
        <c:majorGridlines>
          <c:spPr>
            <a:ln w="6350">
              <a:solidFill>
                <a:schemeClr val="bg1">
                  <a:lumMod val="65000"/>
                </a:schemeClr>
              </a:solidFill>
              <a:prstDash val="sysDash"/>
            </a:ln>
          </c:spPr>
        </c:majorGridlines>
        <c:numFmt formatCode="0.0%" sourceLinked="0"/>
        <c:majorTickMark val="out"/>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en-US"/>
          </a:p>
        </c:txPr>
        <c:crossAx val="491943288"/>
        <c:crosses val="autoZero"/>
        <c:crossBetween val="midCat"/>
        <c:majorUnit val="2.5000000000000005E-2"/>
      </c:valAx>
      <c:spPr>
        <a:solidFill>
          <a:srgbClr val="FFFFFF"/>
        </a:solidFill>
        <a:ln w="3175">
          <a:noFill/>
          <a:prstDash val="solid"/>
        </a:ln>
      </c:spPr>
    </c:plotArea>
    <c:plotVisOnly val="1"/>
    <c:dispBlanksAs val="span"/>
    <c:showDLblsOverMax val="0"/>
  </c:chart>
  <c:spPr>
    <a:solidFill>
      <a:schemeClr val="bg1"/>
    </a:solidFill>
    <a:ln w="9525">
      <a:noFill/>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000000000000866" r="0.75000000000000866" t="1" header="0.5" footer="0.5"/>
    <c:pageSetup orientation="landscape" verticalDpi="96"/>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a:pPr>
            <a:r>
              <a:rPr lang="en-US" sz="1300" b="1"/>
              <a:t>Top 0.01% share</a:t>
            </a:r>
          </a:p>
        </c:rich>
      </c:tx>
      <c:layout>
        <c:manualLayout>
          <c:xMode val="edge"/>
          <c:yMode val="edge"/>
          <c:x val="0.41685474500872577"/>
          <c:y val="0"/>
        </c:manualLayout>
      </c:layout>
      <c:overlay val="0"/>
    </c:title>
    <c:autoTitleDeleted val="0"/>
    <c:plotArea>
      <c:layout>
        <c:manualLayout>
          <c:layoutTarget val="inner"/>
          <c:xMode val="edge"/>
          <c:yMode val="edge"/>
          <c:x val="0.14640577335240504"/>
          <c:y val="5.6927787872669756E-2"/>
          <c:w val="0.80338828016868247"/>
          <c:h val="0.87995715279179831"/>
        </c:manualLayout>
      </c:layout>
      <c:lineChart>
        <c:grouping val="standard"/>
        <c:varyColors val="0"/>
        <c:ser>
          <c:idx val="0"/>
          <c:order val="0"/>
          <c:tx>
            <c:v>Duq</c:v>
          </c:tx>
          <c:spPr>
            <a:ln w="25400">
              <a:solidFill>
                <a:schemeClr val="bg1">
                  <a:lumMod val="65000"/>
                </a:schemeClr>
              </a:solidFill>
              <a:prstDash val="solid"/>
            </a:ln>
          </c:spPr>
          <c:marker>
            <c:symbol val="none"/>
          </c:marker>
          <c:dPt>
            <c:idx val="54"/>
            <c:bubble3D val="0"/>
            <c:spPr>
              <a:ln w="25400">
                <a:solidFill>
                  <a:schemeClr val="bg1">
                    <a:lumMod val="65000"/>
                  </a:schemeClr>
                </a:solidFill>
                <a:prstDash val="solid"/>
              </a:ln>
            </c:spPr>
          </c:dPt>
          <c:cat>
            <c:numRef>
              <c:f>'F2-AS'!$A$37:$A$97</c:f>
              <c:numCache>
                <c:formatCode>General</c:formatCode>
                <c:ptCount val="61"/>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pt idx="56">
                  <c:v>2016</c:v>
                </c:pt>
                <c:pt idx="57">
                  <c:v>2017</c:v>
                </c:pt>
                <c:pt idx="58">
                  <c:v>2018</c:v>
                </c:pt>
                <c:pt idx="59">
                  <c:v>2019</c:v>
                </c:pt>
                <c:pt idx="60">
                  <c:v>2020</c:v>
                </c:pt>
              </c:numCache>
            </c:numRef>
          </c:cat>
          <c:val>
            <c:numRef>
              <c:f>'F2-AS'!$B$37:$B$89</c:f>
              <c:numCache>
                <c:formatCode>0.000</c:formatCode>
                <c:ptCount val="53"/>
                <c:pt idx="0">
                  <c:v>0.18370258808135986</c:v>
                </c:pt>
                <c:pt idx="2">
                  <c:v>0.19173590838909149</c:v>
                </c:pt>
                <c:pt idx="4">
                  <c:v>0.19323407113552094</c:v>
                </c:pt>
                <c:pt idx="6">
                  <c:v>0.16771937906742096</c:v>
                </c:pt>
                <c:pt idx="8">
                  <c:v>0.19195100665092468</c:v>
                </c:pt>
                <c:pt idx="10">
                  <c:v>0.15182901918888092</c:v>
                </c:pt>
                <c:pt idx="12">
                  <c:v>0.14235158264636993</c:v>
                </c:pt>
                <c:pt idx="13">
                  <c:v>0.1126420646905899</c:v>
                </c:pt>
                <c:pt idx="14">
                  <c:v>0.10186830908060074</c:v>
                </c:pt>
                <c:pt idx="15">
                  <c:v>0.11073751002550125</c:v>
                </c:pt>
                <c:pt idx="16">
                  <c:v>0.11032526195049286</c:v>
                </c:pt>
                <c:pt idx="17">
                  <c:v>0.11107464879751205</c:v>
                </c:pt>
                <c:pt idx="18">
                  <c:v>0.10067892819643021</c:v>
                </c:pt>
                <c:pt idx="19">
                  <c:v>0.11787800490856171</c:v>
                </c:pt>
                <c:pt idx="20">
                  <c:v>0.10876652598381042</c:v>
                </c:pt>
                <c:pt idx="21">
                  <c:v>0.12870089709758759</c:v>
                </c:pt>
                <c:pt idx="22">
                  <c:v>8.4223732352256775E-2</c:v>
                </c:pt>
                <c:pt idx="23">
                  <c:v>7.9008191823959351E-2</c:v>
                </c:pt>
                <c:pt idx="24">
                  <c:v>8.1439316272735596E-2</c:v>
                </c:pt>
                <c:pt idx="25">
                  <c:v>7.8300096094608307E-2</c:v>
                </c:pt>
                <c:pt idx="26">
                  <c:v>0.10092118382453918</c:v>
                </c:pt>
                <c:pt idx="27">
                  <c:v>4.7316454350948334E-2</c:v>
                </c:pt>
                <c:pt idx="28">
                  <c:v>4.424922913312912E-2</c:v>
                </c:pt>
                <c:pt idx="29">
                  <c:v>4.2416885495185852E-2</c:v>
                </c:pt>
                <c:pt idx="30">
                  <c:v>4.0312815457582474E-2</c:v>
                </c:pt>
                <c:pt idx="31">
                  <c:v>7.1500591933727264E-2</c:v>
                </c:pt>
                <c:pt idx="32">
                  <c:v>3.5154171288013458E-2</c:v>
                </c:pt>
                <c:pt idx="33">
                  <c:v>5.1010515540838242E-2</c:v>
                </c:pt>
                <c:pt idx="34">
                  <c:v>5.7579375803470612E-2</c:v>
                </c:pt>
                <c:pt idx="35">
                  <c:v>4.7401860356330872E-2</c:v>
                </c:pt>
                <c:pt idx="36">
                  <c:v>6.4663425087928772E-2</c:v>
                </c:pt>
                <c:pt idx="37">
                  <c:v>7.444530725479126E-2</c:v>
                </c:pt>
                <c:pt idx="38">
                  <c:v>6.5787836909294128E-2</c:v>
                </c:pt>
                <c:pt idx="39">
                  <c:v>6.2063165009021759E-2</c:v>
                </c:pt>
                <c:pt idx="40">
                  <c:v>6.1263587325811386E-2</c:v>
                </c:pt>
                <c:pt idx="41">
                  <c:v>5.8879591524600983E-2</c:v>
                </c:pt>
                <c:pt idx="42">
                  <c:v>7.2522386908531189E-2</c:v>
                </c:pt>
                <c:pt idx="43">
                  <c:v>6.6449202597141266E-2</c:v>
                </c:pt>
                <c:pt idx="44">
                  <c:v>6.486356258392334E-2</c:v>
                </c:pt>
                <c:pt idx="45">
                  <c:v>6.5639585256576538E-2</c:v>
                </c:pt>
                <c:pt idx="46">
                  <c:v>7.6668843626976013E-2</c:v>
                </c:pt>
                <c:pt idx="47">
                  <c:v>4.8019655048847198E-2</c:v>
                </c:pt>
                <c:pt idx="48">
                  <c:v>5.7341277599334717E-2</c:v>
                </c:pt>
                <c:pt idx="49">
                  <c:v>9.3117699027061462E-2</c:v>
                </c:pt>
                <c:pt idx="50">
                  <c:v>8.8891275227069855E-2</c:v>
                </c:pt>
                <c:pt idx="51">
                  <c:v>9.4633206725120544E-2</c:v>
                </c:pt>
                <c:pt idx="52">
                  <c:v>5.8285310864448547E-2</c:v>
                </c:pt>
              </c:numCache>
            </c:numRef>
          </c:val>
          <c:smooth val="0"/>
        </c:ser>
        <c:ser>
          <c:idx val="1"/>
          <c:order val="1"/>
          <c:tx>
            <c:v>AS pre-tax</c:v>
          </c:tx>
          <c:spPr>
            <a:ln w="25400">
              <a:solidFill>
                <a:schemeClr val="tx1"/>
              </a:solidFill>
              <a:prstDash val="solid"/>
            </a:ln>
          </c:spPr>
          <c:marker>
            <c:symbol val="none"/>
          </c:marker>
          <c:dPt>
            <c:idx val="1"/>
            <c:bubble3D val="0"/>
          </c:dPt>
          <c:dPt>
            <c:idx val="3"/>
            <c:bubble3D val="0"/>
          </c:dPt>
          <c:dPt>
            <c:idx val="5"/>
            <c:bubble3D val="0"/>
          </c:dPt>
          <c:cat>
            <c:numRef>
              <c:f>'F2-AS'!$A$37:$A$97</c:f>
              <c:numCache>
                <c:formatCode>General</c:formatCode>
                <c:ptCount val="61"/>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pt idx="56">
                  <c:v>2016</c:v>
                </c:pt>
                <c:pt idx="57">
                  <c:v>2017</c:v>
                </c:pt>
                <c:pt idx="58">
                  <c:v>2018</c:v>
                </c:pt>
                <c:pt idx="59">
                  <c:v>2019</c:v>
                </c:pt>
                <c:pt idx="60">
                  <c:v>2020</c:v>
                </c:pt>
              </c:numCache>
            </c:numRef>
          </c:cat>
          <c:val>
            <c:numRef>
              <c:f>'F2-AS'!$C$37:$C$97</c:f>
              <c:numCache>
                <c:formatCode>0.000</c:formatCode>
                <c:ptCount val="61"/>
                <c:pt idx="0">
                  <c:v>4.3927828069055E-2</c:v>
                </c:pt>
                <c:pt idx="2">
                  <c:v>3.9854411789082791E-2</c:v>
                </c:pt>
                <c:pt idx="4">
                  <c:v>4.1853132840573161E-2</c:v>
                </c:pt>
                <c:pt idx="6">
                  <c:v>3.8458435008228403E-2</c:v>
                </c:pt>
                <c:pt idx="8">
                  <c:v>4.6965503157363642E-2</c:v>
                </c:pt>
                <c:pt idx="10">
                  <c:v>4.4033063315878355E-2</c:v>
                </c:pt>
                <c:pt idx="12">
                  <c:v>4.6846372847509664E-2</c:v>
                </c:pt>
                <c:pt idx="13">
                  <c:v>3.5385859808905289E-2</c:v>
                </c:pt>
                <c:pt idx="14">
                  <c:v>3.3544346555306505E-2</c:v>
                </c:pt>
                <c:pt idx="15">
                  <c:v>3.6633255214657962E-2</c:v>
                </c:pt>
                <c:pt idx="16">
                  <c:v>3.8668693048390518E-2</c:v>
                </c:pt>
                <c:pt idx="17">
                  <c:v>3.6540576474113892E-2</c:v>
                </c:pt>
                <c:pt idx="18">
                  <c:v>3.3676704565257537E-2</c:v>
                </c:pt>
                <c:pt idx="19">
                  <c:v>3.5594369996343467E-2</c:v>
                </c:pt>
                <c:pt idx="20">
                  <c:v>3.9806833048505755E-2</c:v>
                </c:pt>
                <c:pt idx="21">
                  <c:v>4.3000643769311689E-2</c:v>
                </c:pt>
                <c:pt idx="22">
                  <c:v>3.6280987431972611E-2</c:v>
                </c:pt>
                <c:pt idx="23">
                  <c:v>3.622621582796394E-2</c:v>
                </c:pt>
                <c:pt idx="24">
                  <c:v>3.5671277579393396E-2</c:v>
                </c:pt>
                <c:pt idx="25">
                  <c:v>3.8500318359159715E-2</c:v>
                </c:pt>
                <c:pt idx="26">
                  <c:v>5.4616693479326718E-2</c:v>
                </c:pt>
                <c:pt idx="27">
                  <c:v>3.9225888769657262E-2</c:v>
                </c:pt>
                <c:pt idx="28">
                  <c:v>3.0154321485286958E-2</c:v>
                </c:pt>
                <c:pt idx="29">
                  <c:v>3.3769995912376345E-2</c:v>
                </c:pt>
                <c:pt idx="30">
                  <c:v>3.2735131441125831E-2</c:v>
                </c:pt>
                <c:pt idx="31">
                  <c:v>3.3803811743243782E-2</c:v>
                </c:pt>
                <c:pt idx="32">
                  <c:v>2.8485059247268813E-2</c:v>
                </c:pt>
                <c:pt idx="33">
                  <c:v>4.1423536557822174E-2</c:v>
                </c:pt>
                <c:pt idx="34">
                  <c:v>4.428445389570481E-2</c:v>
                </c:pt>
                <c:pt idx="35">
                  <c:v>4.0411417634005284E-2</c:v>
                </c:pt>
                <c:pt idx="36">
                  <c:v>5.479790149796239E-2</c:v>
                </c:pt>
                <c:pt idx="37">
                  <c:v>6.146432732128753E-2</c:v>
                </c:pt>
                <c:pt idx="38">
                  <c:v>6.0726583833231595E-2</c:v>
                </c:pt>
                <c:pt idx="39">
                  <c:v>6.8662937684726061E-2</c:v>
                </c:pt>
                <c:pt idx="40">
                  <c:v>7.0001069642965236E-2</c:v>
                </c:pt>
                <c:pt idx="41">
                  <c:v>6.4667166181921518E-2</c:v>
                </c:pt>
                <c:pt idx="42">
                  <c:v>5.8631586837714494E-2</c:v>
                </c:pt>
                <c:pt idx="43">
                  <c:v>6.0371001838397838E-2</c:v>
                </c:pt>
                <c:pt idx="44">
                  <c:v>6.5068566140024292E-2</c:v>
                </c:pt>
                <c:pt idx="45">
                  <c:v>6.7047800906891331E-2</c:v>
                </c:pt>
                <c:pt idx="46">
                  <c:v>6.8291926251416252E-2</c:v>
                </c:pt>
                <c:pt idx="47">
                  <c:v>7.3911854518182205E-2</c:v>
                </c:pt>
                <c:pt idx="48">
                  <c:v>5.6275569202281647E-2</c:v>
                </c:pt>
                <c:pt idx="49">
                  <c:v>5.1690802676712548E-2</c:v>
                </c:pt>
                <c:pt idx="50">
                  <c:v>5.1646213500255382E-2</c:v>
                </c:pt>
                <c:pt idx="51">
                  <c:v>5.6213107227611636E-2</c:v>
                </c:pt>
                <c:pt idx="52">
                  <c:v>7.1879162345035497E-2</c:v>
                </c:pt>
                <c:pt idx="53">
                  <c:v>7.1865669779015151E-2</c:v>
                </c:pt>
                <c:pt idx="54">
                  <c:v>7.755098708003122E-2</c:v>
                </c:pt>
                <c:pt idx="55">
                  <c:v>7.8117924949670473E-2</c:v>
                </c:pt>
              </c:numCache>
            </c:numRef>
          </c:val>
          <c:smooth val="0"/>
        </c:ser>
        <c:dLbls>
          <c:showLegendKey val="0"/>
          <c:showVal val="0"/>
          <c:showCatName val="0"/>
          <c:showSerName val="0"/>
          <c:showPercent val="0"/>
          <c:showBubbleSize val="0"/>
        </c:dLbls>
        <c:smooth val="0"/>
        <c:axId val="491944856"/>
        <c:axId val="491945248"/>
      </c:lineChart>
      <c:catAx>
        <c:axId val="491944856"/>
        <c:scaling>
          <c:orientation val="minMax"/>
        </c:scaling>
        <c:delete val="0"/>
        <c:axPos val="b"/>
        <c:majorGridlines>
          <c:spPr>
            <a:ln w="6350">
              <a:solidFill>
                <a:schemeClr val="bg1">
                  <a:lumMod val="65000"/>
                </a:schemeClr>
              </a:solidFill>
              <a:prstDash val="sysDash"/>
            </a:ln>
          </c:spPr>
        </c:majorGridlines>
        <c:numFmt formatCode="General"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491945248"/>
        <c:crossesAt val="0"/>
        <c:auto val="1"/>
        <c:lblAlgn val="ctr"/>
        <c:lblOffset val="100"/>
        <c:tickLblSkip val="20"/>
        <c:tickMarkSkip val="20"/>
        <c:noMultiLvlLbl val="0"/>
      </c:catAx>
      <c:valAx>
        <c:axId val="491945248"/>
        <c:scaling>
          <c:orientation val="minMax"/>
          <c:max val="0.20100000000000001"/>
          <c:min val="0"/>
        </c:scaling>
        <c:delete val="0"/>
        <c:axPos val="l"/>
        <c:majorGridlines>
          <c:spPr>
            <a:ln w="6350">
              <a:solidFill>
                <a:schemeClr val="bg1">
                  <a:lumMod val="65000"/>
                </a:schemeClr>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en-US"/>
          </a:p>
        </c:txPr>
        <c:crossAx val="491944856"/>
        <c:crosses val="autoZero"/>
        <c:crossBetween val="midCat"/>
        <c:majorUnit val="0.05"/>
        <c:minorUnit val="0.05"/>
      </c:valAx>
      <c:spPr>
        <a:solidFill>
          <a:srgbClr val="FFFFFF"/>
        </a:solidFill>
        <a:ln w="3175">
          <a:noFill/>
          <a:prstDash val="solid"/>
        </a:ln>
      </c:spPr>
    </c:plotArea>
    <c:plotVisOnly val="1"/>
    <c:dispBlanksAs val="span"/>
    <c:showDLblsOverMax val="0"/>
  </c:chart>
  <c:spPr>
    <a:solidFill>
      <a:schemeClr val="bg1"/>
    </a:solidFill>
    <a:ln w="9525">
      <a:noFill/>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000000000000866" r="0.75000000000000866" t="1" header="0.5" footer="0.5"/>
    <c:pageSetup orientation="landscape" verticalDpi="96"/>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a:pPr>
            <a:r>
              <a:rPr lang="en-US" sz="1300" b="1"/>
              <a:t>Top 0.1% share</a:t>
            </a:r>
          </a:p>
        </c:rich>
      </c:tx>
      <c:layout>
        <c:manualLayout>
          <c:xMode val="edge"/>
          <c:yMode val="edge"/>
          <c:x val="0.42155786082295271"/>
          <c:y val="0"/>
        </c:manualLayout>
      </c:layout>
      <c:overlay val="0"/>
    </c:title>
    <c:autoTitleDeleted val="0"/>
    <c:plotArea>
      <c:layout>
        <c:manualLayout>
          <c:layoutTarget val="inner"/>
          <c:xMode val="edge"/>
          <c:yMode val="edge"/>
          <c:x val="0.15110888916663198"/>
          <c:y val="5.9776790721672614E-2"/>
          <c:w val="0.80338828016868247"/>
          <c:h val="0.87710814994279562"/>
        </c:manualLayout>
      </c:layout>
      <c:lineChart>
        <c:grouping val="standard"/>
        <c:varyColors val="0"/>
        <c:ser>
          <c:idx val="0"/>
          <c:order val="0"/>
          <c:tx>
            <c:v>Duq</c:v>
          </c:tx>
          <c:spPr>
            <a:ln w="25400">
              <a:solidFill>
                <a:schemeClr val="bg1">
                  <a:lumMod val="65000"/>
                </a:schemeClr>
              </a:solidFill>
              <a:prstDash val="solid"/>
            </a:ln>
          </c:spPr>
          <c:marker>
            <c:symbol val="none"/>
          </c:marker>
          <c:dPt>
            <c:idx val="54"/>
            <c:bubble3D val="0"/>
            <c:spPr>
              <a:ln w="25400">
                <a:solidFill>
                  <a:schemeClr val="bg1">
                    <a:lumMod val="65000"/>
                  </a:schemeClr>
                </a:solidFill>
                <a:prstDash val="solid"/>
              </a:ln>
            </c:spPr>
          </c:dPt>
          <c:cat>
            <c:numRef>
              <c:f>'F2-AS'!$A$37:$A$97</c:f>
              <c:numCache>
                <c:formatCode>General</c:formatCode>
                <c:ptCount val="61"/>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pt idx="56">
                  <c:v>2016</c:v>
                </c:pt>
                <c:pt idx="57">
                  <c:v>2017</c:v>
                </c:pt>
                <c:pt idx="58">
                  <c:v>2018</c:v>
                </c:pt>
                <c:pt idx="59">
                  <c:v>2019</c:v>
                </c:pt>
                <c:pt idx="60">
                  <c:v>2020</c:v>
                </c:pt>
              </c:numCache>
            </c:numRef>
          </c:cat>
          <c:val>
            <c:numRef>
              <c:f>'F2-AS'!$D$37:$D$97</c:f>
              <c:numCache>
                <c:formatCode>0.000</c:formatCode>
                <c:ptCount val="61"/>
                <c:pt idx="0">
                  <c:v>8.6391858756542206E-2</c:v>
                </c:pt>
                <c:pt idx="2">
                  <c:v>9.4576247036457062E-2</c:v>
                </c:pt>
                <c:pt idx="4">
                  <c:v>9.6557281911373138E-2</c:v>
                </c:pt>
                <c:pt idx="6">
                  <c:v>8.5845321416854858E-2</c:v>
                </c:pt>
                <c:pt idx="8">
                  <c:v>9.91983562707901E-2</c:v>
                </c:pt>
                <c:pt idx="10">
                  <c:v>8.0435954034328461E-2</c:v>
                </c:pt>
                <c:pt idx="12">
                  <c:v>7.9447925090789795E-2</c:v>
                </c:pt>
                <c:pt idx="13">
                  <c:v>6.695874035358429E-2</c:v>
                </c:pt>
                <c:pt idx="14">
                  <c:v>6.1587277799844742E-2</c:v>
                </c:pt>
                <c:pt idx="15">
                  <c:v>6.5777711570262909E-2</c:v>
                </c:pt>
                <c:pt idx="16">
                  <c:v>6.7635558545589447E-2</c:v>
                </c:pt>
                <c:pt idx="17">
                  <c:v>6.8443074822425842E-2</c:v>
                </c:pt>
                <c:pt idx="18">
                  <c:v>6.4096242189407349E-2</c:v>
                </c:pt>
                <c:pt idx="19">
                  <c:v>7.5463555753231049E-2</c:v>
                </c:pt>
                <c:pt idx="20">
                  <c:v>7.1899525821208954E-2</c:v>
                </c:pt>
                <c:pt idx="21">
                  <c:v>8.0451257526874542E-2</c:v>
                </c:pt>
                <c:pt idx="22">
                  <c:v>5.9816155582666397E-2</c:v>
                </c:pt>
                <c:pt idx="23">
                  <c:v>6.622517853975296E-2</c:v>
                </c:pt>
                <c:pt idx="24">
                  <c:v>5.7889837771654129E-2</c:v>
                </c:pt>
                <c:pt idx="25">
                  <c:v>6.9753624498844147E-2</c:v>
                </c:pt>
                <c:pt idx="26">
                  <c:v>7.5141042470932007E-2</c:v>
                </c:pt>
                <c:pt idx="27">
                  <c:v>3.7539046257734299E-2</c:v>
                </c:pt>
                <c:pt idx="28">
                  <c:v>3.3198237419128418E-2</c:v>
                </c:pt>
                <c:pt idx="29">
                  <c:v>3.5197064280509949E-2</c:v>
                </c:pt>
                <c:pt idx="30">
                  <c:v>3.2312080264091492E-2</c:v>
                </c:pt>
                <c:pt idx="31">
                  <c:v>4.6827960759401321E-2</c:v>
                </c:pt>
                <c:pt idx="32">
                  <c:v>3.0727021396160126E-2</c:v>
                </c:pt>
                <c:pt idx="33">
                  <c:v>4.1154626756906509E-2</c:v>
                </c:pt>
                <c:pt idx="34">
                  <c:v>4.5033946633338928E-2</c:v>
                </c:pt>
                <c:pt idx="35">
                  <c:v>3.8413349539041519E-2</c:v>
                </c:pt>
                <c:pt idx="36">
                  <c:v>4.913034662604332E-2</c:v>
                </c:pt>
                <c:pt idx="37">
                  <c:v>5.7321712374687195E-2</c:v>
                </c:pt>
                <c:pt idx="38">
                  <c:v>5.1965672522783279E-2</c:v>
                </c:pt>
                <c:pt idx="39">
                  <c:v>5.1538269966840744E-2</c:v>
                </c:pt>
                <c:pt idx="40">
                  <c:v>5.3797226399183273E-2</c:v>
                </c:pt>
                <c:pt idx="41">
                  <c:v>4.8725444823503494E-2</c:v>
                </c:pt>
                <c:pt idx="42">
                  <c:v>5.1495131105184555E-2</c:v>
                </c:pt>
                <c:pt idx="43">
                  <c:v>5.2631709724664688E-2</c:v>
                </c:pt>
                <c:pt idx="44">
                  <c:v>5.3260460495948792E-2</c:v>
                </c:pt>
                <c:pt idx="45">
                  <c:v>5.7614456862211227E-2</c:v>
                </c:pt>
                <c:pt idx="46">
                  <c:v>5.5961411446332932E-2</c:v>
                </c:pt>
                <c:pt idx="47">
                  <c:v>4.6173892915248871E-2</c:v>
                </c:pt>
                <c:pt idx="48">
                  <c:v>4.6213582158088684E-2</c:v>
                </c:pt>
                <c:pt idx="49">
                  <c:v>5.9104848653078079E-2</c:v>
                </c:pt>
                <c:pt idx="50">
                  <c:v>5.9766091406345367E-2</c:v>
                </c:pt>
                <c:pt idx="51">
                  <c:v>6.4086958765983582E-2</c:v>
                </c:pt>
                <c:pt idx="52">
                  <c:v>4.5815076678991318E-2</c:v>
                </c:pt>
              </c:numCache>
            </c:numRef>
          </c:val>
          <c:smooth val="0"/>
        </c:ser>
        <c:ser>
          <c:idx val="1"/>
          <c:order val="1"/>
          <c:tx>
            <c:v>AS pre-tax</c:v>
          </c:tx>
          <c:spPr>
            <a:ln w="25400">
              <a:solidFill>
                <a:schemeClr val="tx1"/>
              </a:solidFill>
              <a:prstDash val="solid"/>
            </a:ln>
          </c:spPr>
          <c:marker>
            <c:symbol val="none"/>
          </c:marker>
          <c:dPt>
            <c:idx val="1"/>
            <c:bubble3D val="0"/>
          </c:dPt>
          <c:dPt>
            <c:idx val="3"/>
            <c:bubble3D val="0"/>
          </c:dPt>
          <c:dPt>
            <c:idx val="5"/>
            <c:bubble3D val="0"/>
          </c:dPt>
          <c:cat>
            <c:numRef>
              <c:f>'F2-AS'!$A$37:$A$97</c:f>
              <c:numCache>
                <c:formatCode>General</c:formatCode>
                <c:ptCount val="61"/>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pt idx="56">
                  <c:v>2016</c:v>
                </c:pt>
                <c:pt idx="57">
                  <c:v>2017</c:v>
                </c:pt>
                <c:pt idx="58">
                  <c:v>2018</c:v>
                </c:pt>
                <c:pt idx="59">
                  <c:v>2019</c:v>
                </c:pt>
                <c:pt idx="60">
                  <c:v>2020</c:v>
                </c:pt>
              </c:numCache>
            </c:numRef>
          </c:cat>
          <c:val>
            <c:numRef>
              <c:f>'F2-AS'!$E$37:$E$97</c:f>
              <c:numCache>
                <c:formatCode>0.000</c:formatCode>
                <c:ptCount val="61"/>
                <c:pt idx="0">
                  <c:v>2.9031935689981025E-2</c:v>
                </c:pt>
                <c:pt idx="2">
                  <c:v>2.9247812761671051E-2</c:v>
                </c:pt>
                <c:pt idx="4">
                  <c:v>2.8729002179102122E-2</c:v>
                </c:pt>
                <c:pt idx="6">
                  <c:v>2.6770020477460774E-2</c:v>
                </c:pt>
                <c:pt idx="8">
                  <c:v>3.3242221458624599E-2</c:v>
                </c:pt>
                <c:pt idx="10">
                  <c:v>3.1762988078871582E-2</c:v>
                </c:pt>
                <c:pt idx="12">
                  <c:v>3.3472501111313127E-2</c:v>
                </c:pt>
                <c:pt idx="13">
                  <c:v>2.6492315898698469E-2</c:v>
                </c:pt>
                <c:pt idx="14">
                  <c:v>2.6008578310694756E-2</c:v>
                </c:pt>
                <c:pt idx="15">
                  <c:v>2.7591375023635848E-2</c:v>
                </c:pt>
                <c:pt idx="16">
                  <c:v>2.874209135188209E-2</c:v>
                </c:pt>
                <c:pt idx="17">
                  <c:v>2.8433712646863257E-2</c:v>
                </c:pt>
                <c:pt idx="18">
                  <c:v>2.586952178167681E-2</c:v>
                </c:pt>
                <c:pt idx="19">
                  <c:v>2.7292399578326697E-2</c:v>
                </c:pt>
                <c:pt idx="20">
                  <c:v>3.1135736147984254E-2</c:v>
                </c:pt>
                <c:pt idx="21">
                  <c:v>3.4199829868800401E-2</c:v>
                </c:pt>
                <c:pt idx="22">
                  <c:v>2.9996234271212192E-2</c:v>
                </c:pt>
                <c:pt idx="23">
                  <c:v>3.2158357715755488E-2</c:v>
                </c:pt>
                <c:pt idx="24">
                  <c:v>3.3196602139898737E-2</c:v>
                </c:pt>
                <c:pt idx="25">
                  <c:v>4.1541581198006411E-2</c:v>
                </c:pt>
                <c:pt idx="26">
                  <c:v>6.0020254462487072E-2</c:v>
                </c:pt>
                <c:pt idx="27">
                  <c:v>3.1781078150251794E-2</c:v>
                </c:pt>
                <c:pt idx="28">
                  <c:v>2.5039869923143516E-2</c:v>
                </c:pt>
                <c:pt idx="29">
                  <c:v>2.7485461606526439E-2</c:v>
                </c:pt>
                <c:pt idx="30">
                  <c:v>2.6092180958470067E-2</c:v>
                </c:pt>
                <c:pt idx="31">
                  <c:v>2.7977342414867466E-2</c:v>
                </c:pt>
                <c:pt idx="32">
                  <c:v>2.4552163027718114E-2</c:v>
                </c:pt>
                <c:pt idx="33">
                  <c:v>3.2864856740963184E-2</c:v>
                </c:pt>
                <c:pt idx="34">
                  <c:v>3.4628115360844598E-2</c:v>
                </c:pt>
                <c:pt idx="35">
                  <c:v>3.2472362953008697E-2</c:v>
                </c:pt>
                <c:pt idx="36">
                  <c:v>4.0624886454192558E-2</c:v>
                </c:pt>
                <c:pt idx="37">
                  <c:v>4.5500966548559729E-2</c:v>
                </c:pt>
                <c:pt idx="38">
                  <c:v>4.5315369954839903E-2</c:v>
                </c:pt>
                <c:pt idx="39">
                  <c:v>5.010326458334962E-2</c:v>
                </c:pt>
                <c:pt idx="40">
                  <c:v>5.0392212191130194E-2</c:v>
                </c:pt>
                <c:pt idx="41">
                  <c:v>4.492363956438504E-2</c:v>
                </c:pt>
                <c:pt idx="42">
                  <c:v>4.1345031277044926E-2</c:v>
                </c:pt>
                <c:pt idx="43">
                  <c:v>4.3145690666963547E-2</c:v>
                </c:pt>
                <c:pt idx="44">
                  <c:v>4.7331944122230685E-2</c:v>
                </c:pt>
                <c:pt idx="45">
                  <c:v>5.0595764211039403E-2</c:v>
                </c:pt>
                <c:pt idx="46">
                  <c:v>4.836369918999301E-2</c:v>
                </c:pt>
                <c:pt idx="47">
                  <c:v>5.2881880823035972E-2</c:v>
                </c:pt>
                <c:pt idx="48">
                  <c:v>4.0553126084806983E-2</c:v>
                </c:pt>
                <c:pt idx="49">
                  <c:v>3.7936220191234354E-2</c:v>
                </c:pt>
                <c:pt idx="50">
                  <c:v>3.8634136380525534E-2</c:v>
                </c:pt>
                <c:pt idx="51">
                  <c:v>4.0217189998299069E-2</c:v>
                </c:pt>
                <c:pt idx="52">
                  <c:v>4.9754241283390802E-2</c:v>
                </c:pt>
                <c:pt idx="53">
                  <c:v>4.8378574518569056E-2</c:v>
                </c:pt>
                <c:pt idx="54">
                  <c:v>5.2594877019521313E-2</c:v>
                </c:pt>
                <c:pt idx="55">
                  <c:v>5.3549057910277052E-2</c:v>
                </c:pt>
              </c:numCache>
            </c:numRef>
          </c:val>
          <c:smooth val="0"/>
        </c:ser>
        <c:dLbls>
          <c:showLegendKey val="0"/>
          <c:showVal val="0"/>
          <c:showCatName val="0"/>
          <c:showSerName val="0"/>
          <c:showPercent val="0"/>
          <c:showBubbleSize val="0"/>
        </c:dLbls>
        <c:smooth val="0"/>
        <c:axId val="491946032"/>
        <c:axId val="491946816"/>
      </c:lineChart>
      <c:catAx>
        <c:axId val="491946032"/>
        <c:scaling>
          <c:orientation val="minMax"/>
        </c:scaling>
        <c:delete val="0"/>
        <c:axPos val="b"/>
        <c:majorGridlines>
          <c:spPr>
            <a:ln w="6350">
              <a:solidFill>
                <a:schemeClr val="bg1">
                  <a:lumMod val="65000"/>
                </a:schemeClr>
              </a:solidFill>
              <a:prstDash val="sysDash"/>
            </a:ln>
          </c:spPr>
        </c:majorGridlines>
        <c:numFmt formatCode="General"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491946816"/>
        <c:crossesAt val="0"/>
        <c:auto val="1"/>
        <c:lblAlgn val="ctr"/>
        <c:lblOffset val="100"/>
        <c:tickLblSkip val="20"/>
        <c:tickMarkSkip val="20"/>
        <c:noMultiLvlLbl val="0"/>
      </c:catAx>
      <c:valAx>
        <c:axId val="491946816"/>
        <c:scaling>
          <c:orientation val="minMax"/>
          <c:max val="0.1"/>
          <c:min val="0"/>
        </c:scaling>
        <c:delete val="0"/>
        <c:axPos val="l"/>
        <c:majorGridlines>
          <c:spPr>
            <a:ln w="6350">
              <a:solidFill>
                <a:schemeClr val="bg1">
                  <a:lumMod val="65000"/>
                </a:schemeClr>
              </a:solidFill>
              <a:prstDash val="sysDash"/>
            </a:ln>
          </c:spPr>
        </c:majorGridlines>
        <c:numFmt formatCode="0.0%" sourceLinked="0"/>
        <c:majorTickMark val="out"/>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en-US"/>
          </a:p>
        </c:txPr>
        <c:crossAx val="491946032"/>
        <c:crosses val="autoZero"/>
        <c:crossBetween val="midCat"/>
        <c:majorUnit val="2.5000000000000005E-2"/>
      </c:valAx>
      <c:spPr>
        <a:solidFill>
          <a:srgbClr val="FFFFFF"/>
        </a:solidFill>
        <a:ln w="3175">
          <a:noFill/>
          <a:prstDash val="solid"/>
        </a:ln>
      </c:spPr>
    </c:plotArea>
    <c:plotVisOnly val="1"/>
    <c:dispBlanksAs val="span"/>
    <c:showDLblsOverMax val="0"/>
  </c:chart>
  <c:spPr>
    <a:solidFill>
      <a:schemeClr val="bg1"/>
    </a:solidFill>
    <a:ln w="9525">
      <a:noFill/>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000000000000866" r="0.75000000000000866" t="1" header="0.5" footer="0.5"/>
    <c:pageSetup orientation="landscape" verticalDpi="96"/>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a:pPr>
            <a:r>
              <a:rPr lang="en-US" sz="1200" b="1"/>
              <a:t>Top 0.01% contributions per tax unit and S&amp;P 500 (2015 dollars)</a:t>
            </a:r>
          </a:p>
        </c:rich>
      </c:tx>
      <c:layout>
        <c:manualLayout>
          <c:xMode val="edge"/>
          <c:yMode val="edge"/>
          <c:x val="0.150748031496063"/>
          <c:y val="0"/>
        </c:manualLayout>
      </c:layout>
      <c:overlay val="0"/>
    </c:title>
    <c:autoTitleDeleted val="0"/>
    <c:plotArea>
      <c:layout>
        <c:manualLayout>
          <c:layoutTarget val="inner"/>
          <c:xMode val="edge"/>
          <c:yMode val="edge"/>
          <c:x val="0.15110888916663198"/>
          <c:y val="6.5474796419678308E-2"/>
          <c:w val="0.80338828016868247"/>
          <c:h val="0.87141014424478991"/>
        </c:manualLayout>
      </c:layout>
      <c:lineChart>
        <c:grouping val="standard"/>
        <c:varyColors val="0"/>
        <c:ser>
          <c:idx val="0"/>
          <c:order val="0"/>
          <c:tx>
            <c:v>Conf 0.01%</c:v>
          </c:tx>
          <c:spPr>
            <a:ln w="22225">
              <a:solidFill>
                <a:schemeClr val="tx1"/>
              </a:solidFill>
              <a:prstDash val="solid"/>
            </a:ln>
          </c:spPr>
          <c:marker>
            <c:symbol val="none"/>
          </c:marker>
          <c:dPt>
            <c:idx val="54"/>
            <c:bubble3D val="0"/>
            <c:spPr>
              <a:ln w="22225">
                <a:solidFill>
                  <a:schemeClr val="tx1"/>
                </a:solidFill>
                <a:prstDash val="solid"/>
              </a:ln>
            </c:spPr>
          </c:dPt>
          <c:cat>
            <c:numRef>
              <c:f>'F3-Real'!$A$41:$A$141</c:f>
              <c:numCache>
                <c:formatCode>General</c:formatCode>
                <c:ptCount val="101"/>
                <c:pt idx="0">
                  <c:v>1920</c:v>
                </c:pt>
                <c:pt idx="1">
                  <c:v>1921</c:v>
                </c:pt>
                <c:pt idx="2">
                  <c:v>1922</c:v>
                </c:pt>
                <c:pt idx="3">
                  <c:v>1923</c:v>
                </c:pt>
                <c:pt idx="4">
                  <c:v>1924</c:v>
                </c:pt>
                <c:pt idx="5">
                  <c:v>1925</c:v>
                </c:pt>
                <c:pt idx="6">
                  <c:v>1926</c:v>
                </c:pt>
                <c:pt idx="7">
                  <c:v>1927</c:v>
                </c:pt>
                <c:pt idx="8">
                  <c:v>1928</c:v>
                </c:pt>
                <c:pt idx="9">
                  <c:v>1929</c:v>
                </c:pt>
                <c:pt idx="10">
                  <c:v>1930</c:v>
                </c:pt>
                <c:pt idx="11">
                  <c:v>1931</c:v>
                </c:pt>
                <c:pt idx="12">
                  <c:v>1932</c:v>
                </c:pt>
                <c:pt idx="13">
                  <c:v>1933</c:v>
                </c:pt>
                <c:pt idx="14">
                  <c:v>1934</c:v>
                </c:pt>
                <c:pt idx="15">
                  <c:v>1935</c:v>
                </c:pt>
                <c:pt idx="16">
                  <c:v>1936</c:v>
                </c:pt>
                <c:pt idx="17">
                  <c:v>1937</c:v>
                </c:pt>
                <c:pt idx="18">
                  <c:v>1938</c:v>
                </c:pt>
                <c:pt idx="19">
                  <c:v>1939</c:v>
                </c:pt>
                <c:pt idx="20">
                  <c:v>1940</c:v>
                </c:pt>
                <c:pt idx="21">
                  <c:v>1941</c:v>
                </c:pt>
                <c:pt idx="22">
                  <c:v>1942</c:v>
                </c:pt>
                <c:pt idx="23">
                  <c:v>1943</c:v>
                </c:pt>
                <c:pt idx="24">
                  <c:v>1944</c:v>
                </c:pt>
                <c:pt idx="25">
                  <c:v>1945</c:v>
                </c:pt>
                <c:pt idx="26">
                  <c:v>1946</c:v>
                </c:pt>
                <c:pt idx="27">
                  <c:v>1947</c:v>
                </c:pt>
                <c:pt idx="28">
                  <c:v>1948</c:v>
                </c:pt>
                <c:pt idx="29">
                  <c:v>1949</c:v>
                </c:pt>
                <c:pt idx="30">
                  <c:v>1950</c:v>
                </c:pt>
                <c:pt idx="31">
                  <c:v>1951</c:v>
                </c:pt>
                <c:pt idx="32">
                  <c:v>1952</c:v>
                </c:pt>
                <c:pt idx="33">
                  <c:v>1953</c:v>
                </c:pt>
                <c:pt idx="34">
                  <c:v>1954</c:v>
                </c:pt>
                <c:pt idx="35">
                  <c:v>1955</c:v>
                </c:pt>
                <c:pt idx="36">
                  <c:v>1956</c:v>
                </c:pt>
                <c:pt idx="37">
                  <c:v>1957</c:v>
                </c:pt>
                <c:pt idx="38">
                  <c:v>1958</c:v>
                </c:pt>
                <c:pt idx="39">
                  <c:v>1959</c:v>
                </c:pt>
                <c:pt idx="40">
                  <c:v>1960</c:v>
                </c:pt>
                <c:pt idx="41">
                  <c:v>1961</c:v>
                </c:pt>
                <c:pt idx="42">
                  <c:v>1962</c:v>
                </c:pt>
                <c:pt idx="43">
                  <c:v>1963</c:v>
                </c:pt>
                <c:pt idx="44">
                  <c:v>1964</c:v>
                </c:pt>
                <c:pt idx="45">
                  <c:v>1965</c:v>
                </c:pt>
                <c:pt idx="46">
                  <c:v>1966</c:v>
                </c:pt>
                <c:pt idx="47">
                  <c:v>1967</c:v>
                </c:pt>
                <c:pt idx="48">
                  <c:v>1968</c:v>
                </c:pt>
                <c:pt idx="49">
                  <c:v>1969</c:v>
                </c:pt>
                <c:pt idx="50">
                  <c:v>1970</c:v>
                </c:pt>
                <c:pt idx="51">
                  <c:v>1971</c:v>
                </c:pt>
                <c:pt idx="52">
                  <c:v>1972</c:v>
                </c:pt>
                <c:pt idx="53">
                  <c:v>1973</c:v>
                </c:pt>
                <c:pt idx="54">
                  <c:v>1974</c:v>
                </c:pt>
                <c:pt idx="55">
                  <c:v>1975</c:v>
                </c:pt>
                <c:pt idx="56">
                  <c:v>1976</c:v>
                </c:pt>
                <c:pt idx="57">
                  <c:v>1977</c:v>
                </c:pt>
                <c:pt idx="58">
                  <c:v>1978</c:v>
                </c:pt>
                <c:pt idx="59">
                  <c:v>1979</c:v>
                </c:pt>
                <c:pt idx="60">
                  <c:v>1980</c:v>
                </c:pt>
                <c:pt idx="61">
                  <c:v>1981</c:v>
                </c:pt>
                <c:pt idx="62">
                  <c:v>1982</c:v>
                </c:pt>
                <c:pt idx="63">
                  <c:v>1983</c:v>
                </c:pt>
                <c:pt idx="64">
                  <c:v>1984</c:v>
                </c:pt>
                <c:pt idx="65">
                  <c:v>1985</c:v>
                </c:pt>
                <c:pt idx="66">
                  <c:v>1986</c:v>
                </c:pt>
                <c:pt idx="67">
                  <c:v>1987</c:v>
                </c:pt>
                <c:pt idx="68">
                  <c:v>1988</c:v>
                </c:pt>
                <c:pt idx="69">
                  <c:v>1989</c:v>
                </c:pt>
                <c:pt idx="70">
                  <c:v>1990</c:v>
                </c:pt>
                <c:pt idx="71">
                  <c:v>1991</c:v>
                </c:pt>
                <c:pt idx="72">
                  <c:v>1992</c:v>
                </c:pt>
                <c:pt idx="73">
                  <c:v>1993</c:v>
                </c:pt>
                <c:pt idx="74">
                  <c:v>1994</c:v>
                </c:pt>
                <c:pt idx="75">
                  <c:v>1995</c:v>
                </c:pt>
                <c:pt idx="76">
                  <c:v>1996</c:v>
                </c:pt>
                <c:pt idx="77">
                  <c:v>1997</c:v>
                </c:pt>
                <c:pt idx="78">
                  <c:v>1998</c:v>
                </c:pt>
                <c:pt idx="79">
                  <c:v>1999</c:v>
                </c:pt>
                <c:pt idx="80">
                  <c:v>2000</c:v>
                </c:pt>
                <c:pt idx="81">
                  <c:v>2001</c:v>
                </c:pt>
                <c:pt idx="82">
                  <c:v>2002</c:v>
                </c:pt>
                <c:pt idx="83">
                  <c:v>2003</c:v>
                </c:pt>
                <c:pt idx="84">
                  <c:v>2004</c:v>
                </c:pt>
                <c:pt idx="85">
                  <c:v>2005</c:v>
                </c:pt>
                <c:pt idx="86">
                  <c:v>2006</c:v>
                </c:pt>
                <c:pt idx="87">
                  <c:v>2007</c:v>
                </c:pt>
                <c:pt idx="88">
                  <c:v>2008</c:v>
                </c:pt>
                <c:pt idx="89">
                  <c:v>2009</c:v>
                </c:pt>
                <c:pt idx="90">
                  <c:v>2010</c:v>
                </c:pt>
                <c:pt idx="91">
                  <c:v>2011</c:v>
                </c:pt>
                <c:pt idx="92">
                  <c:v>2012</c:v>
                </c:pt>
                <c:pt idx="93">
                  <c:v>2013</c:v>
                </c:pt>
                <c:pt idx="94">
                  <c:v>2014</c:v>
                </c:pt>
                <c:pt idx="95">
                  <c:v>2015</c:v>
                </c:pt>
                <c:pt idx="96">
                  <c:v>2016</c:v>
                </c:pt>
                <c:pt idx="97">
                  <c:v>2017</c:v>
                </c:pt>
                <c:pt idx="98">
                  <c:v>2018</c:v>
                </c:pt>
                <c:pt idx="99">
                  <c:v>2019</c:v>
                </c:pt>
                <c:pt idx="100">
                  <c:v>2020</c:v>
                </c:pt>
              </c:numCache>
            </c:numRef>
          </c:cat>
          <c:val>
            <c:numRef>
              <c:f>'F3-Real'!$H$41:$H$141</c:f>
              <c:numCache>
                <c:formatCode>#,##0</c:formatCode>
                <c:ptCount val="101"/>
                <c:pt idx="2">
                  <c:v>95300.68588757464</c:v>
                </c:pt>
                <c:pt idx="3">
                  <c:v>100358.99556987177</c:v>
                </c:pt>
                <c:pt idx="4">
                  <c:v>116105.71346055387</c:v>
                </c:pt>
                <c:pt idx="5">
                  <c:v>101292.88197044235</c:v>
                </c:pt>
                <c:pt idx="6">
                  <c:v>119493.42956419801</c:v>
                </c:pt>
                <c:pt idx="7">
                  <c:v>136241.07694234402</c:v>
                </c:pt>
                <c:pt idx="8">
                  <c:v>137118.77037446809</c:v>
                </c:pt>
                <c:pt idx="9">
                  <c:v>132577.99349532291</c:v>
                </c:pt>
                <c:pt idx="10">
                  <c:v>126853.8407382513</c:v>
                </c:pt>
                <c:pt idx="11">
                  <c:v>96482.353885534263</c:v>
                </c:pt>
                <c:pt idx="12">
                  <c:v>87415.358821057787</c:v>
                </c:pt>
                <c:pt idx="13">
                  <c:v>63151.288555344312</c:v>
                </c:pt>
                <c:pt idx="14">
                  <c:v>98410.091949302456</c:v>
                </c:pt>
                <c:pt idx="15">
                  <c:v>111547.18494565428</c:v>
                </c:pt>
                <c:pt idx="16">
                  <c:v>157298.64692491925</c:v>
                </c:pt>
                <c:pt idx="17">
                  <c:v>152714.43426422979</c:v>
                </c:pt>
                <c:pt idx="18">
                  <c:v>94909.098435351043</c:v>
                </c:pt>
                <c:pt idx="19">
                  <c:v>138312.47055325544</c:v>
                </c:pt>
                <c:pt idx="20">
                  <c:v>149629.25562990669</c:v>
                </c:pt>
                <c:pt idx="21">
                  <c:v>144145.32725476645</c:v>
                </c:pt>
                <c:pt idx="22">
                  <c:v>117566.40532824479</c:v>
                </c:pt>
                <c:pt idx="24">
                  <c:v>111508.4088920229</c:v>
                </c:pt>
                <c:pt idx="25">
                  <c:v>131120.59031965342</c:v>
                </c:pt>
                <c:pt idx="26">
                  <c:v>151742.74066479673</c:v>
                </c:pt>
                <c:pt idx="27">
                  <c:v>139507.01525921066</c:v>
                </c:pt>
                <c:pt idx="28">
                  <c:v>156918.22562952759</c:v>
                </c:pt>
                <c:pt idx="29">
                  <c:v>137179.3050486595</c:v>
                </c:pt>
                <c:pt idx="30">
                  <c:v>126466.02213678311</c:v>
                </c:pt>
                <c:pt idx="32">
                  <c:v>162370.02278425457</c:v>
                </c:pt>
                <c:pt idx="33">
                  <c:v>157910.66072290609</c:v>
                </c:pt>
                <c:pt idx="34">
                  <c:v>220180.07834650812</c:v>
                </c:pt>
                <c:pt idx="36">
                  <c:v>276277.07154184155</c:v>
                </c:pt>
                <c:pt idx="38">
                  <c:v>293679.06984198181</c:v>
                </c:pt>
                <c:pt idx="40">
                  <c:v>369216.86239920947</c:v>
                </c:pt>
                <c:pt idx="42">
                  <c:v>378931.72729552246</c:v>
                </c:pt>
                <c:pt idx="44">
                  <c:v>414458.39452368399</c:v>
                </c:pt>
                <c:pt idx="46">
                  <c:v>416995.59765541524</c:v>
                </c:pt>
                <c:pt idx="48">
                  <c:v>486749.8192661872</c:v>
                </c:pt>
                <c:pt idx="50">
                  <c:v>352493.37689835508</c:v>
                </c:pt>
                <c:pt idx="52">
                  <c:v>376373.24537863751</c:v>
                </c:pt>
                <c:pt idx="53">
                  <c:v>287553.16224594699</c:v>
                </c:pt>
                <c:pt idx="54">
                  <c:v>263779.97600558546</c:v>
                </c:pt>
                <c:pt idx="55">
                  <c:v>255862.81973237699</c:v>
                </c:pt>
                <c:pt idx="56">
                  <c:v>274638.88551879011</c:v>
                </c:pt>
                <c:pt idx="57">
                  <c:v>280459.53859423264</c:v>
                </c:pt>
                <c:pt idx="58">
                  <c:v>266570.4493852107</c:v>
                </c:pt>
                <c:pt idx="59">
                  <c:v>309298.9889410772</c:v>
                </c:pt>
                <c:pt idx="60">
                  <c:v>303431.74476291373</c:v>
                </c:pt>
                <c:pt idx="61">
                  <c:v>316714.08577787917</c:v>
                </c:pt>
                <c:pt idx="62">
                  <c:v>275704.19196275395</c:v>
                </c:pt>
                <c:pt idx="63">
                  <c:v>283130.44087159995</c:v>
                </c:pt>
                <c:pt idx="64">
                  <c:v>335030.71155775577</c:v>
                </c:pt>
                <c:pt idx="65">
                  <c:v>366925.28770910384</c:v>
                </c:pt>
                <c:pt idx="66">
                  <c:v>524956.5944977242</c:v>
                </c:pt>
                <c:pt idx="67">
                  <c:v>337013.19706051325</c:v>
                </c:pt>
                <c:pt idx="68">
                  <c:v>392772.95077821409</c:v>
                </c:pt>
                <c:pt idx="69">
                  <c:v>392726.53754964512</c:v>
                </c:pt>
                <c:pt idx="70">
                  <c:v>394176.06755910156</c:v>
                </c:pt>
                <c:pt idx="71">
                  <c:v>364849.04493693647</c:v>
                </c:pt>
                <c:pt idx="72">
                  <c:v>349437.83931251586</c:v>
                </c:pt>
                <c:pt idx="73">
                  <c:v>455164.97790278669</c:v>
                </c:pt>
                <c:pt idx="74">
                  <c:v>489754.30367577501</c:v>
                </c:pt>
                <c:pt idx="75">
                  <c:v>492743.33996894112</c:v>
                </c:pt>
                <c:pt idx="76">
                  <c:v>733967.8588101411</c:v>
                </c:pt>
                <c:pt idx="77">
                  <c:v>930269.37265120819</c:v>
                </c:pt>
                <c:pt idx="78">
                  <c:v>928742.17967840459</c:v>
                </c:pt>
                <c:pt idx="79">
                  <c:v>1186673.2040856697</c:v>
                </c:pt>
                <c:pt idx="80">
                  <c:v>1371742.128373652</c:v>
                </c:pt>
                <c:pt idx="81">
                  <c:v>1106357.0811423664</c:v>
                </c:pt>
                <c:pt idx="82">
                  <c:v>893653.91839848773</c:v>
                </c:pt>
                <c:pt idx="83">
                  <c:v>984364.14410037268</c:v>
                </c:pt>
                <c:pt idx="84">
                  <c:v>1345870.8551695324</c:v>
                </c:pt>
                <c:pt idx="85">
                  <c:v>1591126.8080157647</c:v>
                </c:pt>
                <c:pt idx="86">
                  <c:v>1671911.423300527</c:v>
                </c:pt>
                <c:pt idx="87">
                  <c:v>1868032.9469632232</c:v>
                </c:pt>
                <c:pt idx="88">
                  <c:v>1286765.2502690728</c:v>
                </c:pt>
                <c:pt idx="89">
                  <c:v>989328.02991392056</c:v>
                </c:pt>
                <c:pt idx="90">
                  <c:v>1195636.9037250143</c:v>
                </c:pt>
                <c:pt idx="91">
                  <c:v>1154815.4242647011</c:v>
                </c:pt>
                <c:pt idx="92">
                  <c:v>1950999.9060586321</c:v>
                </c:pt>
                <c:pt idx="93">
                  <c:v>1574549.586828338</c:v>
                </c:pt>
                <c:pt idx="94">
                  <c:v>1721091.3566897416</c:v>
                </c:pt>
                <c:pt idx="95">
                  <c:v>1799774.6799431008</c:v>
                </c:pt>
                <c:pt idx="96">
                  <c:v>2195174.2355695567</c:v>
                </c:pt>
              </c:numCache>
            </c:numRef>
          </c:val>
          <c:smooth val="0"/>
        </c:ser>
        <c:dLbls>
          <c:showLegendKey val="0"/>
          <c:showVal val="0"/>
          <c:showCatName val="0"/>
          <c:showSerName val="0"/>
          <c:showPercent val="0"/>
          <c:showBubbleSize val="0"/>
        </c:dLbls>
        <c:marker val="1"/>
        <c:smooth val="0"/>
        <c:axId val="494393576"/>
        <c:axId val="494391616"/>
      </c:lineChart>
      <c:lineChart>
        <c:grouping val="standard"/>
        <c:varyColors val="0"/>
        <c:ser>
          <c:idx val="2"/>
          <c:order val="1"/>
          <c:tx>
            <c:v>SP500</c:v>
          </c:tx>
          <c:spPr>
            <a:ln>
              <a:solidFill>
                <a:schemeClr val="tx1">
                  <a:lumMod val="50000"/>
                  <a:lumOff val="50000"/>
                </a:schemeClr>
              </a:solidFill>
              <a:prstDash val="sysDash"/>
            </a:ln>
          </c:spPr>
          <c:marker>
            <c:symbol val="none"/>
          </c:marker>
          <c:val>
            <c:numRef>
              <c:f>'F3-Real'!$J$41:$J$137</c:f>
              <c:numCache>
                <c:formatCode>#,##0</c:formatCode>
                <c:ptCount val="97"/>
                <c:pt idx="0">
                  <c:v>77.190704932807648</c:v>
                </c:pt>
                <c:pt idx="1">
                  <c:v>88.71656685079283</c:v>
                </c:pt>
                <c:pt idx="2">
                  <c:v>115.48695915107301</c:v>
                </c:pt>
                <c:pt idx="3">
                  <c:v>112.56061574585971</c:v>
                </c:pt>
                <c:pt idx="4">
                  <c:v>134.60536296629499</c:v>
                </c:pt>
                <c:pt idx="5">
                  <c:v>156.95598431183711</c:v>
                </c:pt>
                <c:pt idx="6">
                  <c:v>164.69316871262203</c:v>
                </c:pt>
                <c:pt idx="7">
                  <c:v>219.59640660047359</c:v>
                </c:pt>
                <c:pt idx="8">
                  <c:v>315.66789623865543</c:v>
                </c:pt>
                <c:pt idx="9">
                  <c:v>275.66975170318625</c:v>
                </c:pt>
                <c:pt idx="10">
                  <c:v>208.18691389472849</c:v>
                </c:pt>
                <c:pt idx="11">
                  <c:v>118.56592844442659</c:v>
                </c:pt>
                <c:pt idx="12">
                  <c:v>112.91966574306095</c:v>
                </c:pt>
                <c:pt idx="13">
                  <c:v>176.95202705463322</c:v>
                </c:pt>
                <c:pt idx="14">
                  <c:v>150.42266226370759</c:v>
                </c:pt>
                <c:pt idx="15">
                  <c:v>218.08373112310889</c:v>
                </c:pt>
                <c:pt idx="16">
                  <c:v>276.09872396280554</c:v>
                </c:pt>
                <c:pt idx="17">
                  <c:v>171.33291586498959</c:v>
                </c:pt>
                <c:pt idx="18">
                  <c:v>192.94974936710778</c:v>
                </c:pt>
                <c:pt idx="19">
                  <c:v>192.60095558940569</c:v>
                </c:pt>
                <c:pt idx="20">
                  <c:v>163.62506269662865</c:v>
                </c:pt>
                <c:pt idx="21">
                  <c:v>131.90447392289718</c:v>
                </c:pt>
                <c:pt idx="22">
                  <c:v>134.68461865740286</c:v>
                </c:pt>
                <c:pt idx="23">
                  <c:v>149.01680488959008</c:v>
                </c:pt>
                <c:pt idx="24">
                  <c:v>166.74314598893108</c:v>
                </c:pt>
                <c:pt idx="25">
                  <c:v>217.77733463112568</c:v>
                </c:pt>
                <c:pt idx="26">
                  <c:v>169.36357200447253</c:v>
                </c:pt>
                <c:pt idx="27">
                  <c:v>144.39817022112953</c:v>
                </c:pt>
                <c:pt idx="28">
                  <c:v>138.77224293122256</c:v>
                </c:pt>
                <c:pt idx="29">
                  <c:v>154.00005900859165</c:v>
                </c:pt>
                <c:pt idx="30">
                  <c:v>191.62495264135617</c:v>
                </c:pt>
                <c:pt idx="31">
                  <c:v>202.53632622049591</c:v>
                </c:pt>
                <c:pt idx="32">
                  <c:v>214.51080382569378</c:v>
                </c:pt>
                <c:pt idx="33">
                  <c:v>207.04871522298427</c:v>
                </c:pt>
                <c:pt idx="34">
                  <c:v>288.07181860292502</c:v>
                </c:pt>
                <c:pt idx="35">
                  <c:v>358.59398158437853</c:v>
                </c:pt>
                <c:pt idx="36">
                  <c:v>363.55070289941341</c:v>
                </c:pt>
                <c:pt idx="37">
                  <c:v>317.74021721069028</c:v>
                </c:pt>
                <c:pt idx="38">
                  <c:v>418.36924297782735</c:v>
                </c:pt>
                <c:pt idx="39">
                  <c:v>433.49709257658799</c:v>
                </c:pt>
                <c:pt idx="40">
                  <c:v>438.58593023203781</c:v>
                </c:pt>
                <c:pt idx="41">
                  <c:v>502.16319073925541</c:v>
                </c:pt>
                <c:pt idx="42">
                  <c:v>468.31031479050858</c:v>
                </c:pt>
                <c:pt idx="43">
                  <c:v>543.10358647582132</c:v>
                </c:pt>
                <c:pt idx="44">
                  <c:v>603.90543029992648</c:v>
                </c:pt>
                <c:pt idx="45">
                  <c:v>644.00729046338552</c:v>
                </c:pt>
                <c:pt idx="46">
                  <c:v>566.60610705908937</c:v>
                </c:pt>
                <c:pt idx="47">
                  <c:v>618.56674538759978</c:v>
                </c:pt>
                <c:pt idx="48">
                  <c:v>637.15857938414172</c:v>
                </c:pt>
                <c:pt idx="49">
                  <c:v>534.92929886881655</c:v>
                </c:pt>
                <c:pt idx="50">
                  <c:v>523.79342389693113</c:v>
                </c:pt>
                <c:pt idx="51">
                  <c:v>554.46215141933874</c:v>
                </c:pt>
                <c:pt idx="52">
                  <c:v>615.74660798575542</c:v>
                </c:pt>
                <c:pt idx="53">
                  <c:v>470.55697426435779</c:v>
                </c:pt>
                <c:pt idx="54">
                  <c:v>319.94620429144175</c:v>
                </c:pt>
                <c:pt idx="55">
                  <c:v>391.37113929046376</c:v>
                </c:pt>
                <c:pt idx="56">
                  <c:v>396.5625463996987</c:v>
                </c:pt>
                <c:pt idx="57">
                  <c:v>323.74360161000681</c:v>
                </c:pt>
                <c:pt idx="58">
                  <c:v>332.44340970072005</c:v>
                </c:pt>
                <c:pt idx="59">
                  <c:v>337.43104125903483</c:v>
                </c:pt>
                <c:pt idx="60">
                  <c:v>364.23829202061569</c:v>
                </c:pt>
                <c:pt idx="61">
                  <c:v>293.31771104624255</c:v>
                </c:pt>
                <c:pt idx="62">
                  <c:v>340.2980684410652</c:v>
                </c:pt>
                <c:pt idx="63">
                  <c:v>376.35198633975239</c:v>
                </c:pt>
                <c:pt idx="64">
                  <c:v>372.8501156803411</c:v>
                </c:pt>
                <c:pt idx="65">
                  <c:v>437.35865686578137</c:v>
                </c:pt>
                <c:pt idx="66">
                  <c:v>545.74542562249394</c:v>
                </c:pt>
                <c:pt idx="67">
                  <c:v>499.96633236242729</c:v>
                </c:pt>
                <c:pt idx="68">
                  <c:v>549.45869842367676</c:v>
                </c:pt>
                <c:pt idx="69">
                  <c:v>627.44897945173432</c:v>
                </c:pt>
                <c:pt idx="70">
                  <c:v>572.20542432711829</c:v>
                </c:pt>
                <c:pt idx="71">
                  <c:v>706.13980093827297</c:v>
                </c:pt>
                <c:pt idx="72">
                  <c:v>720.37571054499483</c:v>
                </c:pt>
                <c:pt idx="73">
                  <c:v>763.98387957063744</c:v>
                </c:pt>
                <c:pt idx="74">
                  <c:v>735.7763930812506</c:v>
                </c:pt>
                <c:pt idx="75">
                  <c:v>948.83553831845404</c:v>
                </c:pt>
                <c:pt idx="76">
                  <c:v>1152.5761792761873</c:v>
                </c:pt>
                <c:pt idx="77">
                  <c:v>1418.4716100920004</c:v>
                </c:pt>
                <c:pt idx="78">
                  <c:v>1813.4013437808806</c:v>
                </c:pt>
                <c:pt idx="79">
                  <c:v>2027.8703313348001</c:v>
                </c:pt>
                <c:pt idx="80">
                  <c:v>1838.3019436306367</c:v>
                </c:pt>
                <c:pt idx="81">
                  <c:v>1526.4796115756917</c:v>
                </c:pt>
                <c:pt idx="82">
                  <c:v>1180.2585284179911</c:v>
                </c:pt>
                <c:pt idx="83">
                  <c:v>1459.4889340874793</c:v>
                </c:pt>
                <c:pt idx="84">
                  <c:v>1482.4282968385064</c:v>
                </c:pt>
                <c:pt idx="85">
                  <c:v>1552.4966497128808</c:v>
                </c:pt>
                <c:pt idx="86">
                  <c:v>1674.1712771806558</c:v>
                </c:pt>
                <c:pt idx="87">
                  <c:v>1576.0895473179585</c:v>
                </c:pt>
                <c:pt idx="88">
                  <c:v>952.87652684820966</c:v>
                </c:pt>
                <c:pt idx="89">
                  <c:v>1241.3129710026712</c:v>
                </c:pt>
                <c:pt idx="90">
                  <c:v>1394.1498722346553</c:v>
                </c:pt>
                <c:pt idx="91">
                  <c:v>1370.41406719155</c:v>
                </c:pt>
                <c:pt idx="92">
                  <c:v>1528.2627890972765</c:v>
                </c:pt>
                <c:pt idx="93">
                  <c:v>1854.1202888086646</c:v>
                </c:pt>
                <c:pt idx="94">
                  <c:v>2030.5874014091653</c:v>
                </c:pt>
                <c:pt idx="95">
                  <c:v>1918.5999999999995</c:v>
                </c:pt>
                <c:pt idx="96">
                  <c:v>2246.1498811544993</c:v>
                </c:pt>
              </c:numCache>
            </c:numRef>
          </c:val>
          <c:smooth val="0"/>
        </c:ser>
        <c:dLbls>
          <c:showLegendKey val="0"/>
          <c:showVal val="0"/>
          <c:showCatName val="0"/>
          <c:showSerName val="0"/>
          <c:showPercent val="0"/>
          <c:showBubbleSize val="0"/>
        </c:dLbls>
        <c:marker val="1"/>
        <c:smooth val="0"/>
        <c:axId val="494392400"/>
        <c:axId val="494392008"/>
      </c:lineChart>
      <c:catAx>
        <c:axId val="494393576"/>
        <c:scaling>
          <c:orientation val="minMax"/>
        </c:scaling>
        <c:delete val="0"/>
        <c:axPos val="b"/>
        <c:majorGridlines>
          <c:spPr>
            <a:ln w="6350">
              <a:solidFill>
                <a:schemeClr val="bg1">
                  <a:lumMod val="65000"/>
                </a:schemeClr>
              </a:solidFill>
              <a:prstDash val="sysDash"/>
            </a:ln>
          </c:spPr>
        </c:majorGridlines>
        <c:numFmt formatCode="General"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494391616"/>
        <c:crossesAt val="0"/>
        <c:auto val="1"/>
        <c:lblAlgn val="ctr"/>
        <c:lblOffset val="100"/>
        <c:tickLblSkip val="20"/>
        <c:tickMarkSkip val="20"/>
        <c:noMultiLvlLbl val="0"/>
      </c:catAx>
      <c:valAx>
        <c:axId val="494391616"/>
        <c:scaling>
          <c:orientation val="minMax"/>
          <c:max val="2250000"/>
          <c:min val="1.0000000000000002E-2"/>
        </c:scaling>
        <c:delete val="0"/>
        <c:axPos val="l"/>
        <c:majorGridlines>
          <c:spPr>
            <a:ln w="6350">
              <a:solidFill>
                <a:schemeClr val="bg1">
                  <a:lumMod val="65000"/>
                </a:schemeClr>
              </a:solidFill>
              <a:prstDash val="sysDash"/>
            </a:ln>
          </c:spPr>
        </c:majorGridlines>
        <c:numFmt formatCode="_(&quot;$&quot;* #,##0_);_(&quot;$&quot;* \(#,##0\);_(&quot;$&quot;* &quot;-&quot;_);_(@_)"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494393576"/>
        <c:crosses val="autoZero"/>
        <c:crossBetween val="midCat"/>
        <c:majorUnit val="500000"/>
        <c:minorUnit val="0.05"/>
      </c:valAx>
      <c:valAx>
        <c:axId val="494392008"/>
        <c:scaling>
          <c:orientation val="minMax"/>
          <c:max val="2700"/>
          <c:min val="0"/>
        </c:scaling>
        <c:delete val="0"/>
        <c:axPos val="r"/>
        <c:numFmt formatCode="#,##0" sourceLinked="1"/>
        <c:majorTickMark val="out"/>
        <c:minorTickMark val="none"/>
        <c:tickLblPos val="nextTo"/>
        <c:txPr>
          <a:bodyPr/>
          <a:lstStyle/>
          <a:p>
            <a:pPr>
              <a:defRPr sz="1000"/>
            </a:pPr>
            <a:endParaRPr lang="en-US"/>
          </a:p>
        </c:txPr>
        <c:crossAx val="494392400"/>
        <c:crosses val="max"/>
        <c:crossBetween val="between"/>
        <c:majorUnit val="600"/>
      </c:valAx>
      <c:catAx>
        <c:axId val="494392400"/>
        <c:scaling>
          <c:orientation val="minMax"/>
        </c:scaling>
        <c:delete val="1"/>
        <c:axPos val="b"/>
        <c:majorTickMark val="out"/>
        <c:minorTickMark val="none"/>
        <c:tickLblPos val="nextTo"/>
        <c:crossAx val="494392008"/>
        <c:crosses val="autoZero"/>
        <c:auto val="1"/>
        <c:lblAlgn val="ctr"/>
        <c:lblOffset val="100"/>
        <c:noMultiLvlLbl val="0"/>
      </c:catAx>
      <c:spPr>
        <a:solidFill>
          <a:srgbClr val="FFFFFF"/>
        </a:solidFill>
        <a:ln w="3175">
          <a:noFill/>
          <a:prstDash val="solid"/>
        </a:ln>
      </c:spPr>
    </c:plotArea>
    <c:plotVisOnly val="1"/>
    <c:dispBlanksAs val="span"/>
    <c:showDLblsOverMax val="0"/>
  </c:chart>
  <c:spPr>
    <a:solidFill>
      <a:schemeClr val="bg1"/>
    </a:solidFill>
    <a:ln w="9525">
      <a:noFill/>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000000000000866" r="0.75000000000000866" t="1" header="0.5" footer="0.5"/>
    <c:pageSetup orientation="landscape" verticalDpi="96"/>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a:pPr>
            <a:r>
              <a:rPr lang="en-US" sz="1300" b="1"/>
              <a:t>Contributions per tax unit (2015 dollars)</a:t>
            </a:r>
          </a:p>
        </c:rich>
      </c:tx>
      <c:layout>
        <c:manualLayout>
          <c:xMode val="edge"/>
          <c:yMode val="edge"/>
          <c:x val="0.26324806249612498"/>
          <c:y val="0"/>
        </c:manualLayout>
      </c:layout>
      <c:overlay val="0"/>
    </c:title>
    <c:autoTitleDeleted val="0"/>
    <c:plotArea>
      <c:layout>
        <c:manualLayout>
          <c:layoutTarget val="inner"/>
          <c:xMode val="edge"/>
          <c:yMode val="edge"/>
          <c:x val="0.15110888916663198"/>
          <c:y val="6.5474796419678308E-2"/>
          <c:w val="0.68683851199822721"/>
          <c:h val="0.87141014424478991"/>
        </c:manualLayout>
      </c:layout>
      <c:lineChart>
        <c:grouping val="standard"/>
        <c:varyColors val="0"/>
        <c:ser>
          <c:idx val="2"/>
          <c:order val="0"/>
          <c:tx>
            <c:v>Splinter 0.01%</c:v>
          </c:tx>
          <c:spPr>
            <a:ln w="22225">
              <a:solidFill>
                <a:schemeClr val="tx1"/>
              </a:solidFill>
            </a:ln>
          </c:spPr>
          <c:marker>
            <c:symbol val="none"/>
          </c:marker>
          <c:cat>
            <c:numRef>
              <c:f>'F3-Real'!$A$41:$A$141</c:f>
              <c:numCache>
                <c:formatCode>General</c:formatCode>
                <c:ptCount val="101"/>
                <c:pt idx="0">
                  <c:v>1920</c:v>
                </c:pt>
                <c:pt idx="1">
                  <c:v>1921</c:v>
                </c:pt>
                <c:pt idx="2">
                  <c:v>1922</c:v>
                </c:pt>
                <c:pt idx="3">
                  <c:v>1923</c:v>
                </c:pt>
                <c:pt idx="4">
                  <c:v>1924</c:v>
                </c:pt>
                <c:pt idx="5">
                  <c:v>1925</c:v>
                </c:pt>
                <c:pt idx="6">
                  <c:v>1926</c:v>
                </c:pt>
                <c:pt idx="7">
                  <c:v>1927</c:v>
                </c:pt>
                <c:pt idx="8">
                  <c:v>1928</c:v>
                </c:pt>
                <c:pt idx="9">
                  <c:v>1929</c:v>
                </c:pt>
                <c:pt idx="10">
                  <c:v>1930</c:v>
                </c:pt>
                <c:pt idx="11">
                  <c:v>1931</c:v>
                </c:pt>
                <c:pt idx="12">
                  <c:v>1932</c:v>
                </c:pt>
                <c:pt idx="13">
                  <c:v>1933</c:v>
                </c:pt>
                <c:pt idx="14">
                  <c:v>1934</c:v>
                </c:pt>
                <c:pt idx="15">
                  <c:v>1935</c:v>
                </c:pt>
                <c:pt idx="16">
                  <c:v>1936</c:v>
                </c:pt>
                <c:pt idx="17">
                  <c:v>1937</c:v>
                </c:pt>
                <c:pt idx="18">
                  <c:v>1938</c:v>
                </c:pt>
                <c:pt idx="19">
                  <c:v>1939</c:v>
                </c:pt>
                <c:pt idx="20">
                  <c:v>1940</c:v>
                </c:pt>
                <c:pt idx="21">
                  <c:v>1941</c:v>
                </c:pt>
                <c:pt idx="22">
                  <c:v>1942</c:v>
                </c:pt>
                <c:pt idx="23">
                  <c:v>1943</c:v>
                </c:pt>
                <c:pt idx="24">
                  <c:v>1944</c:v>
                </c:pt>
                <c:pt idx="25">
                  <c:v>1945</c:v>
                </c:pt>
                <c:pt idx="26">
                  <c:v>1946</c:v>
                </c:pt>
                <c:pt idx="27">
                  <c:v>1947</c:v>
                </c:pt>
                <c:pt idx="28">
                  <c:v>1948</c:v>
                </c:pt>
                <c:pt idx="29">
                  <c:v>1949</c:v>
                </c:pt>
                <c:pt idx="30">
                  <c:v>1950</c:v>
                </c:pt>
                <c:pt idx="31">
                  <c:v>1951</c:v>
                </c:pt>
                <c:pt idx="32">
                  <c:v>1952</c:v>
                </c:pt>
                <c:pt idx="33">
                  <c:v>1953</c:v>
                </c:pt>
                <c:pt idx="34">
                  <c:v>1954</c:v>
                </c:pt>
                <c:pt idx="35">
                  <c:v>1955</c:v>
                </c:pt>
                <c:pt idx="36">
                  <c:v>1956</c:v>
                </c:pt>
                <c:pt idx="37">
                  <c:v>1957</c:v>
                </c:pt>
                <c:pt idx="38">
                  <c:v>1958</c:v>
                </c:pt>
                <c:pt idx="39">
                  <c:v>1959</c:v>
                </c:pt>
                <c:pt idx="40">
                  <c:v>1960</c:v>
                </c:pt>
                <c:pt idx="41">
                  <c:v>1961</c:v>
                </c:pt>
                <c:pt idx="42">
                  <c:v>1962</c:v>
                </c:pt>
                <c:pt idx="43">
                  <c:v>1963</c:v>
                </c:pt>
                <c:pt idx="44">
                  <c:v>1964</c:v>
                </c:pt>
                <c:pt idx="45">
                  <c:v>1965</c:v>
                </c:pt>
                <c:pt idx="46">
                  <c:v>1966</c:v>
                </c:pt>
                <c:pt idx="47">
                  <c:v>1967</c:v>
                </c:pt>
                <c:pt idx="48">
                  <c:v>1968</c:v>
                </c:pt>
                <c:pt idx="49">
                  <c:v>1969</c:v>
                </c:pt>
                <c:pt idx="50">
                  <c:v>1970</c:v>
                </c:pt>
                <c:pt idx="51">
                  <c:v>1971</c:v>
                </c:pt>
                <c:pt idx="52">
                  <c:v>1972</c:v>
                </c:pt>
                <c:pt idx="53">
                  <c:v>1973</c:v>
                </c:pt>
                <c:pt idx="54">
                  <c:v>1974</c:v>
                </c:pt>
                <c:pt idx="55">
                  <c:v>1975</c:v>
                </c:pt>
                <c:pt idx="56">
                  <c:v>1976</c:v>
                </c:pt>
                <c:pt idx="57">
                  <c:v>1977</c:v>
                </c:pt>
                <c:pt idx="58">
                  <c:v>1978</c:v>
                </c:pt>
                <c:pt idx="59">
                  <c:v>1979</c:v>
                </c:pt>
                <c:pt idx="60">
                  <c:v>1980</c:v>
                </c:pt>
                <c:pt idx="61">
                  <c:v>1981</c:v>
                </c:pt>
                <c:pt idx="62">
                  <c:v>1982</c:v>
                </c:pt>
                <c:pt idx="63">
                  <c:v>1983</c:v>
                </c:pt>
                <c:pt idx="64">
                  <c:v>1984</c:v>
                </c:pt>
                <c:pt idx="65">
                  <c:v>1985</c:v>
                </c:pt>
                <c:pt idx="66">
                  <c:v>1986</c:v>
                </c:pt>
                <c:pt idx="67">
                  <c:v>1987</c:v>
                </c:pt>
                <c:pt idx="68">
                  <c:v>1988</c:v>
                </c:pt>
                <c:pt idx="69">
                  <c:v>1989</c:v>
                </c:pt>
                <c:pt idx="70">
                  <c:v>1990</c:v>
                </c:pt>
                <c:pt idx="71">
                  <c:v>1991</c:v>
                </c:pt>
                <c:pt idx="72">
                  <c:v>1992</c:v>
                </c:pt>
                <c:pt idx="73">
                  <c:v>1993</c:v>
                </c:pt>
                <c:pt idx="74">
                  <c:v>1994</c:v>
                </c:pt>
                <c:pt idx="75">
                  <c:v>1995</c:v>
                </c:pt>
                <c:pt idx="76">
                  <c:v>1996</c:v>
                </c:pt>
                <c:pt idx="77">
                  <c:v>1997</c:v>
                </c:pt>
                <c:pt idx="78">
                  <c:v>1998</c:v>
                </c:pt>
                <c:pt idx="79">
                  <c:v>1999</c:v>
                </c:pt>
                <c:pt idx="80">
                  <c:v>2000</c:v>
                </c:pt>
                <c:pt idx="81">
                  <c:v>2001</c:v>
                </c:pt>
                <c:pt idx="82">
                  <c:v>2002</c:v>
                </c:pt>
                <c:pt idx="83">
                  <c:v>2003</c:v>
                </c:pt>
                <c:pt idx="84">
                  <c:v>2004</c:v>
                </c:pt>
                <c:pt idx="85">
                  <c:v>2005</c:v>
                </c:pt>
                <c:pt idx="86">
                  <c:v>2006</c:v>
                </c:pt>
                <c:pt idx="87">
                  <c:v>2007</c:v>
                </c:pt>
                <c:pt idx="88">
                  <c:v>2008</c:v>
                </c:pt>
                <c:pt idx="89">
                  <c:v>2009</c:v>
                </c:pt>
                <c:pt idx="90">
                  <c:v>2010</c:v>
                </c:pt>
                <c:pt idx="91">
                  <c:v>2011</c:v>
                </c:pt>
                <c:pt idx="92">
                  <c:v>2012</c:v>
                </c:pt>
                <c:pt idx="93">
                  <c:v>2013</c:v>
                </c:pt>
                <c:pt idx="94">
                  <c:v>2014</c:v>
                </c:pt>
                <c:pt idx="95">
                  <c:v>2015</c:v>
                </c:pt>
                <c:pt idx="96">
                  <c:v>2016</c:v>
                </c:pt>
                <c:pt idx="97">
                  <c:v>2017</c:v>
                </c:pt>
                <c:pt idx="98">
                  <c:v>2018</c:v>
                </c:pt>
                <c:pt idx="99">
                  <c:v>2019</c:v>
                </c:pt>
                <c:pt idx="100">
                  <c:v>2020</c:v>
                </c:pt>
              </c:numCache>
            </c:numRef>
          </c:cat>
          <c:val>
            <c:numRef>
              <c:f>'F3-Real'!$G$41:$G$141</c:f>
              <c:numCache>
                <c:formatCode>#,##0</c:formatCode>
                <c:ptCount val="101"/>
                <c:pt idx="40">
                  <c:v>369216.86239920947</c:v>
                </c:pt>
                <c:pt idx="42">
                  <c:v>378931.72729552246</c:v>
                </c:pt>
                <c:pt idx="44">
                  <c:v>414458.39452368399</c:v>
                </c:pt>
                <c:pt idx="46">
                  <c:v>416995.59765541524</c:v>
                </c:pt>
                <c:pt idx="48">
                  <c:v>486749.8192661872</c:v>
                </c:pt>
                <c:pt idx="50">
                  <c:v>352493.37689835508</c:v>
                </c:pt>
                <c:pt idx="52">
                  <c:v>376373.24537863751</c:v>
                </c:pt>
                <c:pt idx="53">
                  <c:v>287553.16224594699</c:v>
                </c:pt>
                <c:pt idx="54">
                  <c:v>263779.97600558546</c:v>
                </c:pt>
                <c:pt idx="55">
                  <c:v>255862.81973237699</c:v>
                </c:pt>
                <c:pt idx="56">
                  <c:v>274638.88551879011</c:v>
                </c:pt>
                <c:pt idx="57">
                  <c:v>280459.53859423264</c:v>
                </c:pt>
                <c:pt idx="58">
                  <c:v>266570.4493852107</c:v>
                </c:pt>
                <c:pt idx="59">
                  <c:v>309298.9889410772</c:v>
                </c:pt>
                <c:pt idx="60">
                  <c:v>303431.74476291373</c:v>
                </c:pt>
                <c:pt idx="61">
                  <c:v>316714.08577787917</c:v>
                </c:pt>
                <c:pt idx="62">
                  <c:v>275704.19196275395</c:v>
                </c:pt>
                <c:pt idx="63">
                  <c:v>283130.44087159995</c:v>
                </c:pt>
                <c:pt idx="64">
                  <c:v>335030.71155775577</c:v>
                </c:pt>
                <c:pt idx="65">
                  <c:v>366925.28770910384</c:v>
                </c:pt>
                <c:pt idx="66">
                  <c:v>524956.5944977242</c:v>
                </c:pt>
                <c:pt idx="67">
                  <c:v>337013.19706051325</c:v>
                </c:pt>
                <c:pt idx="68">
                  <c:v>392772.95077821409</c:v>
                </c:pt>
                <c:pt idx="69">
                  <c:v>392726.53754964512</c:v>
                </c:pt>
                <c:pt idx="70">
                  <c:v>394176.06755910156</c:v>
                </c:pt>
                <c:pt idx="71">
                  <c:v>364849.04493693647</c:v>
                </c:pt>
                <c:pt idx="72">
                  <c:v>349437.83931251586</c:v>
                </c:pt>
                <c:pt idx="73">
                  <c:v>455164.97790278669</c:v>
                </c:pt>
                <c:pt idx="74">
                  <c:v>489754.30367577501</c:v>
                </c:pt>
                <c:pt idx="75">
                  <c:v>492743.33996894112</c:v>
                </c:pt>
                <c:pt idx="76">
                  <c:v>733967.8588101411</c:v>
                </c:pt>
                <c:pt idx="77">
                  <c:v>930269.37265120819</c:v>
                </c:pt>
                <c:pt idx="78">
                  <c:v>928742.17967840459</c:v>
                </c:pt>
                <c:pt idx="79">
                  <c:v>1186673.2040856697</c:v>
                </c:pt>
                <c:pt idx="80">
                  <c:v>1371742.128373652</c:v>
                </c:pt>
                <c:pt idx="81">
                  <c:v>1106357.0811423664</c:v>
                </c:pt>
                <c:pt idx="82">
                  <c:v>893653.91839848773</c:v>
                </c:pt>
                <c:pt idx="83">
                  <c:v>984364.14410037268</c:v>
                </c:pt>
                <c:pt idx="84">
                  <c:v>1345870.8551695324</c:v>
                </c:pt>
                <c:pt idx="85">
                  <c:v>1591126.8080157647</c:v>
                </c:pt>
                <c:pt idx="86">
                  <c:v>1671911.423300527</c:v>
                </c:pt>
                <c:pt idx="87">
                  <c:v>1868032.9469632232</c:v>
                </c:pt>
                <c:pt idx="88">
                  <c:v>1286765.2502690728</c:v>
                </c:pt>
                <c:pt idx="89">
                  <c:v>989328.02991392056</c:v>
                </c:pt>
                <c:pt idx="90">
                  <c:v>1195636.9037250143</c:v>
                </c:pt>
                <c:pt idx="91">
                  <c:v>1154815.4242647011</c:v>
                </c:pt>
                <c:pt idx="92">
                  <c:v>1950999.9060586321</c:v>
                </c:pt>
                <c:pt idx="93">
                  <c:v>1574549.586828338</c:v>
                </c:pt>
                <c:pt idx="94">
                  <c:v>1721091.3566897416</c:v>
                </c:pt>
                <c:pt idx="95">
                  <c:v>1799774.6799431008</c:v>
                </c:pt>
                <c:pt idx="96">
                  <c:v>2195174.2355695567</c:v>
                </c:pt>
              </c:numCache>
            </c:numRef>
          </c:val>
          <c:smooth val="0"/>
        </c:ser>
        <c:ser>
          <c:idx val="0"/>
          <c:order val="1"/>
          <c:tx>
            <c:v>0.01% Public</c:v>
          </c:tx>
          <c:spPr>
            <a:ln w="22225">
              <a:solidFill>
                <a:schemeClr val="tx1">
                  <a:lumMod val="50000"/>
                  <a:lumOff val="50000"/>
                </a:schemeClr>
              </a:solidFill>
              <a:prstDash val="sysDash"/>
            </a:ln>
          </c:spPr>
          <c:marker>
            <c:symbol val="none"/>
          </c:marker>
          <c:dPt>
            <c:idx val="54"/>
            <c:bubble3D val="0"/>
          </c:dPt>
          <c:cat>
            <c:numRef>
              <c:f>'F3-Real'!$A$41:$A$141</c:f>
              <c:numCache>
                <c:formatCode>General</c:formatCode>
                <c:ptCount val="101"/>
                <c:pt idx="0">
                  <c:v>1920</c:v>
                </c:pt>
                <c:pt idx="1">
                  <c:v>1921</c:v>
                </c:pt>
                <c:pt idx="2">
                  <c:v>1922</c:v>
                </c:pt>
                <c:pt idx="3">
                  <c:v>1923</c:v>
                </c:pt>
                <c:pt idx="4">
                  <c:v>1924</c:v>
                </c:pt>
                <c:pt idx="5">
                  <c:v>1925</c:v>
                </c:pt>
                <c:pt idx="6">
                  <c:v>1926</c:v>
                </c:pt>
                <c:pt idx="7">
                  <c:v>1927</c:v>
                </c:pt>
                <c:pt idx="8">
                  <c:v>1928</c:v>
                </c:pt>
                <c:pt idx="9">
                  <c:v>1929</c:v>
                </c:pt>
                <c:pt idx="10">
                  <c:v>1930</c:v>
                </c:pt>
                <c:pt idx="11">
                  <c:v>1931</c:v>
                </c:pt>
                <c:pt idx="12">
                  <c:v>1932</c:v>
                </c:pt>
                <c:pt idx="13">
                  <c:v>1933</c:v>
                </c:pt>
                <c:pt idx="14">
                  <c:v>1934</c:v>
                </c:pt>
                <c:pt idx="15">
                  <c:v>1935</c:v>
                </c:pt>
                <c:pt idx="16">
                  <c:v>1936</c:v>
                </c:pt>
                <c:pt idx="17">
                  <c:v>1937</c:v>
                </c:pt>
                <c:pt idx="18">
                  <c:v>1938</c:v>
                </c:pt>
                <c:pt idx="19">
                  <c:v>1939</c:v>
                </c:pt>
                <c:pt idx="20">
                  <c:v>1940</c:v>
                </c:pt>
                <c:pt idx="21">
                  <c:v>1941</c:v>
                </c:pt>
                <c:pt idx="22">
                  <c:v>1942</c:v>
                </c:pt>
                <c:pt idx="23">
                  <c:v>1943</c:v>
                </c:pt>
                <c:pt idx="24">
                  <c:v>1944</c:v>
                </c:pt>
                <c:pt idx="25">
                  <c:v>1945</c:v>
                </c:pt>
                <c:pt idx="26">
                  <c:v>1946</c:v>
                </c:pt>
                <c:pt idx="27">
                  <c:v>1947</c:v>
                </c:pt>
                <c:pt idx="28">
                  <c:v>1948</c:v>
                </c:pt>
                <c:pt idx="29">
                  <c:v>1949</c:v>
                </c:pt>
                <c:pt idx="30">
                  <c:v>1950</c:v>
                </c:pt>
                <c:pt idx="31">
                  <c:v>1951</c:v>
                </c:pt>
                <c:pt idx="32">
                  <c:v>1952</c:v>
                </c:pt>
                <c:pt idx="33">
                  <c:v>1953</c:v>
                </c:pt>
                <c:pt idx="34">
                  <c:v>1954</c:v>
                </c:pt>
                <c:pt idx="35">
                  <c:v>1955</c:v>
                </c:pt>
                <c:pt idx="36">
                  <c:v>1956</c:v>
                </c:pt>
                <c:pt idx="37">
                  <c:v>1957</c:v>
                </c:pt>
                <c:pt idx="38">
                  <c:v>1958</c:v>
                </c:pt>
                <c:pt idx="39">
                  <c:v>1959</c:v>
                </c:pt>
                <c:pt idx="40">
                  <c:v>1960</c:v>
                </c:pt>
                <c:pt idx="41">
                  <c:v>1961</c:v>
                </c:pt>
                <c:pt idx="42">
                  <c:v>1962</c:v>
                </c:pt>
                <c:pt idx="43">
                  <c:v>1963</c:v>
                </c:pt>
                <c:pt idx="44">
                  <c:v>1964</c:v>
                </c:pt>
                <c:pt idx="45">
                  <c:v>1965</c:v>
                </c:pt>
                <c:pt idx="46">
                  <c:v>1966</c:v>
                </c:pt>
                <c:pt idx="47">
                  <c:v>1967</c:v>
                </c:pt>
                <c:pt idx="48">
                  <c:v>1968</c:v>
                </c:pt>
                <c:pt idx="49">
                  <c:v>1969</c:v>
                </c:pt>
                <c:pt idx="50">
                  <c:v>1970</c:v>
                </c:pt>
                <c:pt idx="51">
                  <c:v>1971</c:v>
                </c:pt>
                <c:pt idx="52">
                  <c:v>1972</c:v>
                </c:pt>
                <c:pt idx="53">
                  <c:v>1973</c:v>
                </c:pt>
                <c:pt idx="54">
                  <c:v>1974</c:v>
                </c:pt>
                <c:pt idx="55">
                  <c:v>1975</c:v>
                </c:pt>
                <c:pt idx="56">
                  <c:v>1976</c:v>
                </c:pt>
                <c:pt idx="57">
                  <c:v>1977</c:v>
                </c:pt>
                <c:pt idx="58">
                  <c:v>1978</c:v>
                </c:pt>
                <c:pt idx="59">
                  <c:v>1979</c:v>
                </c:pt>
                <c:pt idx="60">
                  <c:v>1980</c:v>
                </c:pt>
                <c:pt idx="61">
                  <c:v>1981</c:v>
                </c:pt>
                <c:pt idx="62">
                  <c:v>1982</c:v>
                </c:pt>
                <c:pt idx="63">
                  <c:v>1983</c:v>
                </c:pt>
                <c:pt idx="64">
                  <c:v>1984</c:v>
                </c:pt>
                <c:pt idx="65">
                  <c:v>1985</c:v>
                </c:pt>
                <c:pt idx="66">
                  <c:v>1986</c:v>
                </c:pt>
                <c:pt idx="67">
                  <c:v>1987</c:v>
                </c:pt>
                <c:pt idx="68">
                  <c:v>1988</c:v>
                </c:pt>
                <c:pt idx="69">
                  <c:v>1989</c:v>
                </c:pt>
                <c:pt idx="70">
                  <c:v>1990</c:v>
                </c:pt>
                <c:pt idx="71">
                  <c:v>1991</c:v>
                </c:pt>
                <c:pt idx="72">
                  <c:v>1992</c:v>
                </c:pt>
                <c:pt idx="73">
                  <c:v>1993</c:v>
                </c:pt>
                <c:pt idx="74">
                  <c:v>1994</c:v>
                </c:pt>
                <c:pt idx="75">
                  <c:v>1995</c:v>
                </c:pt>
                <c:pt idx="76">
                  <c:v>1996</c:v>
                </c:pt>
                <c:pt idx="77">
                  <c:v>1997</c:v>
                </c:pt>
                <c:pt idx="78">
                  <c:v>1998</c:v>
                </c:pt>
                <c:pt idx="79">
                  <c:v>1999</c:v>
                </c:pt>
                <c:pt idx="80">
                  <c:v>2000</c:v>
                </c:pt>
                <c:pt idx="81">
                  <c:v>2001</c:v>
                </c:pt>
                <c:pt idx="82">
                  <c:v>2002</c:v>
                </c:pt>
                <c:pt idx="83">
                  <c:v>2003</c:v>
                </c:pt>
                <c:pt idx="84">
                  <c:v>2004</c:v>
                </c:pt>
                <c:pt idx="85">
                  <c:v>2005</c:v>
                </c:pt>
                <c:pt idx="86">
                  <c:v>2006</c:v>
                </c:pt>
                <c:pt idx="87">
                  <c:v>2007</c:v>
                </c:pt>
                <c:pt idx="88">
                  <c:v>2008</c:v>
                </c:pt>
                <c:pt idx="89">
                  <c:v>2009</c:v>
                </c:pt>
                <c:pt idx="90">
                  <c:v>2010</c:v>
                </c:pt>
                <c:pt idx="91">
                  <c:v>2011</c:v>
                </c:pt>
                <c:pt idx="92">
                  <c:v>2012</c:v>
                </c:pt>
                <c:pt idx="93">
                  <c:v>2013</c:v>
                </c:pt>
                <c:pt idx="94">
                  <c:v>2014</c:v>
                </c:pt>
                <c:pt idx="95">
                  <c:v>2015</c:v>
                </c:pt>
                <c:pt idx="96">
                  <c:v>2016</c:v>
                </c:pt>
                <c:pt idx="97">
                  <c:v>2017</c:v>
                </c:pt>
                <c:pt idx="98">
                  <c:v>2018</c:v>
                </c:pt>
                <c:pt idx="99">
                  <c:v>2019</c:v>
                </c:pt>
                <c:pt idx="100">
                  <c:v>2020</c:v>
                </c:pt>
              </c:numCache>
            </c:numRef>
          </c:cat>
          <c:val>
            <c:numRef>
              <c:f>'F3-Real'!$F$41:$F$141</c:f>
              <c:numCache>
                <c:formatCode>#,##0</c:formatCode>
                <c:ptCount val="101"/>
                <c:pt idx="2">
                  <c:v>95300.68588757464</c:v>
                </c:pt>
                <c:pt idx="3">
                  <c:v>100358.99556987177</c:v>
                </c:pt>
                <c:pt idx="4">
                  <c:v>116105.71346055387</c:v>
                </c:pt>
                <c:pt idx="5">
                  <c:v>101292.88197044235</c:v>
                </c:pt>
                <c:pt idx="6">
                  <c:v>119493.42956419801</c:v>
                </c:pt>
                <c:pt idx="7">
                  <c:v>136241.07694234402</c:v>
                </c:pt>
                <c:pt idx="8">
                  <c:v>137118.77037446809</c:v>
                </c:pt>
                <c:pt idx="9">
                  <c:v>132577.99349532291</c:v>
                </c:pt>
                <c:pt idx="10">
                  <c:v>126853.8407382513</c:v>
                </c:pt>
                <c:pt idx="11">
                  <c:v>96482.353885534263</c:v>
                </c:pt>
                <c:pt idx="12">
                  <c:v>87415.358821057787</c:v>
                </c:pt>
                <c:pt idx="13">
                  <c:v>63151.288555344312</c:v>
                </c:pt>
                <c:pt idx="14">
                  <c:v>98410.091949302456</c:v>
                </c:pt>
                <c:pt idx="15">
                  <c:v>111547.18494565428</c:v>
                </c:pt>
                <c:pt idx="16">
                  <c:v>157298.64692491925</c:v>
                </c:pt>
                <c:pt idx="17">
                  <c:v>152714.43426422979</c:v>
                </c:pt>
                <c:pt idx="18">
                  <c:v>94909.098435351043</c:v>
                </c:pt>
                <c:pt idx="19">
                  <c:v>138312.47055325544</c:v>
                </c:pt>
                <c:pt idx="20">
                  <c:v>149629.25562990669</c:v>
                </c:pt>
                <c:pt idx="21">
                  <c:v>144145.32725476645</c:v>
                </c:pt>
                <c:pt idx="22">
                  <c:v>117566.40532824479</c:v>
                </c:pt>
                <c:pt idx="24">
                  <c:v>111508.4088920229</c:v>
                </c:pt>
                <c:pt idx="25">
                  <c:v>131120.59031965342</c:v>
                </c:pt>
                <c:pt idx="26">
                  <c:v>151742.74066479673</c:v>
                </c:pt>
                <c:pt idx="27">
                  <c:v>139507.01525921066</c:v>
                </c:pt>
                <c:pt idx="28">
                  <c:v>156918.22562952759</c:v>
                </c:pt>
                <c:pt idx="29">
                  <c:v>137179.3050486595</c:v>
                </c:pt>
                <c:pt idx="30">
                  <c:v>126466.02213678311</c:v>
                </c:pt>
                <c:pt idx="32">
                  <c:v>162370.02278425457</c:v>
                </c:pt>
                <c:pt idx="33">
                  <c:v>157910.66072290609</c:v>
                </c:pt>
                <c:pt idx="34">
                  <c:v>220180.07834650812</c:v>
                </c:pt>
                <c:pt idx="36">
                  <c:v>276277.07154184155</c:v>
                </c:pt>
                <c:pt idx="38">
                  <c:v>293679.06984198181</c:v>
                </c:pt>
                <c:pt idx="40">
                  <c:v>372563.21070502599</c:v>
                </c:pt>
                <c:pt idx="42">
                  <c:v>384002.61902670463</c:v>
                </c:pt>
                <c:pt idx="44">
                  <c:v>393374.96736628737</c:v>
                </c:pt>
                <c:pt idx="46">
                  <c:v>421219.42010473943</c:v>
                </c:pt>
                <c:pt idx="48">
                  <c:v>491886.87291373045</c:v>
                </c:pt>
                <c:pt idx="50">
                  <c:v>358543.06926342339</c:v>
                </c:pt>
                <c:pt idx="52">
                  <c:v>345903.23244079389</c:v>
                </c:pt>
                <c:pt idx="53">
                  <c:v>265850.52540641843</c:v>
                </c:pt>
                <c:pt idx="54">
                  <c:v>265125.98769533611</c:v>
                </c:pt>
                <c:pt idx="55">
                  <c:v>271433.02682244219</c:v>
                </c:pt>
                <c:pt idx="56">
                  <c:v>278024.95892643445</c:v>
                </c:pt>
                <c:pt idx="57">
                  <c:v>284836.71052786021</c:v>
                </c:pt>
                <c:pt idx="58">
                  <c:v>269675.02328825329</c:v>
                </c:pt>
                <c:pt idx="59">
                  <c:v>334319.74332888064</c:v>
                </c:pt>
                <c:pt idx="60">
                  <c:v>319480.03729362116</c:v>
                </c:pt>
                <c:pt idx="61">
                  <c:v>375425.74335008377</c:v>
                </c:pt>
                <c:pt idx="62">
                  <c:v>284353.05189670861</c:v>
                </c:pt>
                <c:pt idx="63">
                  <c:v>297094.44291127642</c:v>
                </c:pt>
                <c:pt idx="64">
                  <c:v>356274.39868488349</c:v>
                </c:pt>
                <c:pt idx="65">
                  <c:v>344908.7972697597</c:v>
                </c:pt>
                <c:pt idx="66">
                  <c:v>462794.90957045555</c:v>
                </c:pt>
                <c:pt idx="67">
                  <c:v>291121.46129368828</c:v>
                </c:pt>
                <c:pt idx="68">
                  <c:v>437139.99788119388</c:v>
                </c:pt>
                <c:pt idx="69">
                  <c:v>365297.50569365069</c:v>
                </c:pt>
                <c:pt idx="70">
                  <c:v>361614.43103500531</c:v>
                </c:pt>
                <c:pt idx="71">
                  <c:v>548722.47788514406</c:v>
                </c:pt>
                <c:pt idx="72">
                  <c:v>341220.90070410387</c:v>
                </c:pt>
                <c:pt idx="73">
                  <c:v>420293.57193609403</c:v>
                </c:pt>
                <c:pt idx="74">
                  <c:v>481290.05661102955</c:v>
                </c:pt>
                <c:pt idx="75">
                  <c:v>427062.61676119524</c:v>
                </c:pt>
                <c:pt idx="76">
                  <c:v>647985.80973057309</c:v>
                </c:pt>
                <c:pt idx="77">
                  <c:v>862806.84535366832</c:v>
                </c:pt>
                <c:pt idx="78">
                  <c:v>876401.68063605053</c:v>
                </c:pt>
                <c:pt idx="79">
                  <c:v>940365.58673539257</c:v>
                </c:pt>
                <c:pt idx="80">
                  <c:v>1017597.1471630593</c:v>
                </c:pt>
                <c:pt idx="81">
                  <c:v>807462.67458430619</c:v>
                </c:pt>
                <c:pt idx="82">
                  <c:v>916406.21239247161</c:v>
                </c:pt>
                <c:pt idx="83">
                  <c:v>877454.18901611445</c:v>
                </c:pt>
                <c:pt idx="84">
                  <c:v>1035594.4316294946</c:v>
                </c:pt>
                <c:pt idx="85">
                  <c:v>1226831.2874630471</c:v>
                </c:pt>
                <c:pt idx="86">
                  <c:v>1474948.9244198324</c:v>
                </c:pt>
                <c:pt idx="87">
                  <c:v>1008867.5422949856</c:v>
                </c:pt>
                <c:pt idx="88">
                  <c:v>1091308.4958938092</c:v>
                </c:pt>
                <c:pt idx="89">
                  <c:v>1516501.2917362251</c:v>
                </c:pt>
                <c:pt idx="90">
                  <c:v>1571482.3019203509</c:v>
                </c:pt>
                <c:pt idx="91">
                  <c:v>1584608.501296913</c:v>
                </c:pt>
                <c:pt idx="92">
                  <c:v>1160127.3589540399</c:v>
                </c:pt>
              </c:numCache>
            </c:numRef>
          </c:val>
          <c:smooth val="0"/>
        </c:ser>
        <c:ser>
          <c:idx val="3"/>
          <c:order val="2"/>
          <c:tx>
            <c:v>Splinter 0.1%</c:v>
          </c:tx>
          <c:spPr>
            <a:ln w="22225">
              <a:solidFill>
                <a:schemeClr val="tx1"/>
              </a:solidFill>
            </a:ln>
          </c:spPr>
          <c:marker>
            <c:symbol val="none"/>
          </c:marker>
          <c:cat>
            <c:numRef>
              <c:f>'F3-Real'!$A$41:$A$141</c:f>
              <c:numCache>
                <c:formatCode>General</c:formatCode>
                <c:ptCount val="101"/>
                <c:pt idx="0">
                  <c:v>1920</c:v>
                </c:pt>
                <c:pt idx="1">
                  <c:v>1921</c:v>
                </c:pt>
                <c:pt idx="2">
                  <c:v>1922</c:v>
                </c:pt>
                <c:pt idx="3">
                  <c:v>1923</c:v>
                </c:pt>
                <c:pt idx="4">
                  <c:v>1924</c:v>
                </c:pt>
                <c:pt idx="5">
                  <c:v>1925</c:v>
                </c:pt>
                <c:pt idx="6">
                  <c:v>1926</c:v>
                </c:pt>
                <c:pt idx="7">
                  <c:v>1927</c:v>
                </c:pt>
                <c:pt idx="8">
                  <c:v>1928</c:v>
                </c:pt>
                <c:pt idx="9">
                  <c:v>1929</c:v>
                </c:pt>
                <c:pt idx="10">
                  <c:v>1930</c:v>
                </c:pt>
                <c:pt idx="11">
                  <c:v>1931</c:v>
                </c:pt>
                <c:pt idx="12">
                  <c:v>1932</c:v>
                </c:pt>
                <c:pt idx="13">
                  <c:v>1933</c:v>
                </c:pt>
                <c:pt idx="14">
                  <c:v>1934</c:v>
                </c:pt>
                <c:pt idx="15">
                  <c:v>1935</c:v>
                </c:pt>
                <c:pt idx="16">
                  <c:v>1936</c:v>
                </c:pt>
                <c:pt idx="17">
                  <c:v>1937</c:v>
                </c:pt>
                <c:pt idx="18">
                  <c:v>1938</c:v>
                </c:pt>
                <c:pt idx="19">
                  <c:v>1939</c:v>
                </c:pt>
                <c:pt idx="20">
                  <c:v>1940</c:v>
                </c:pt>
                <c:pt idx="21">
                  <c:v>1941</c:v>
                </c:pt>
                <c:pt idx="22">
                  <c:v>1942</c:v>
                </c:pt>
                <c:pt idx="23">
                  <c:v>1943</c:v>
                </c:pt>
                <c:pt idx="24">
                  <c:v>1944</c:v>
                </c:pt>
                <c:pt idx="25">
                  <c:v>1945</c:v>
                </c:pt>
                <c:pt idx="26">
                  <c:v>1946</c:v>
                </c:pt>
                <c:pt idx="27">
                  <c:v>1947</c:v>
                </c:pt>
                <c:pt idx="28">
                  <c:v>1948</c:v>
                </c:pt>
                <c:pt idx="29">
                  <c:v>1949</c:v>
                </c:pt>
                <c:pt idx="30">
                  <c:v>1950</c:v>
                </c:pt>
                <c:pt idx="31">
                  <c:v>1951</c:v>
                </c:pt>
                <c:pt idx="32">
                  <c:v>1952</c:v>
                </c:pt>
                <c:pt idx="33">
                  <c:v>1953</c:v>
                </c:pt>
                <c:pt idx="34">
                  <c:v>1954</c:v>
                </c:pt>
                <c:pt idx="35">
                  <c:v>1955</c:v>
                </c:pt>
                <c:pt idx="36">
                  <c:v>1956</c:v>
                </c:pt>
                <c:pt idx="37">
                  <c:v>1957</c:v>
                </c:pt>
                <c:pt idx="38">
                  <c:v>1958</c:v>
                </c:pt>
                <c:pt idx="39">
                  <c:v>1959</c:v>
                </c:pt>
                <c:pt idx="40">
                  <c:v>1960</c:v>
                </c:pt>
                <c:pt idx="41">
                  <c:v>1961</c:v>
                </c:pt>
                <c:pt idx="42">
                  <c:v>1962</c:v>
                </c:pt>
                <c:pt idx="43">
                  <c:v>1963</c:v>
                </c:pt>
                <c:pt idx="44">
                  <c:v>1964</c:v>
                </c:pt>
                <c:pt idx="45">
                  <c:v>1965</c:v>
                </c:pt>
                <c:pt idx="46">
                  <c:v>1966</c:v>
                </c:pt>
                <c:pt idx="47">
                  <c:v>1967</c:v>
                </c:pt>
                <c:pt idx="48">
                  <c:v>1968</c:v>
                </c:pt>
                <c:pt idx="49">
                  <c:v>1969</c:v>
                </c:pt>
                <c:pt idx="50">
                  <c:v>1970</c:v>
                </c:pt>
                <c:pt idx="51">
                  <c:v>1971</c:v>
                </c:pt>
                <c:pt idx="52">
                  <c:v>1972</c:v>
                </c:pt>
                <c:pt idx="53">
                  <c:v>1973</c:v>
                </c:pt>
                <c:pt idx="54">
                  <c:v>1974</c:v>
                </c:pt>
                <c:pt idx="55">
                  <c:v>1975</c:v>
                </c:pt>
                <c:pt idx="56">
                  <c:v>1976</c:v>
                </c:pt>
                <c:pt idx="57">
                  <c:v>1977</c:v>
                </c:pt>
                <c:pt idx="58">
                  <c:v>1978</c:v>
                </c:pt>
                <c:pt idx="59">
                  <c:v>1979</c:v>
                </c:pt>
                <c:pt idx="60">
                  <c:v>1980</c:v>
                </c:pt>
                <c:pt idx="61">
                  <c:v>1981</c:v>
                </c:pt>
                <c:pt idx="62">
                  <c:v>1982</c:v>
                </c:pt>
                <c:pt idx="63">
                  <c:v>1983</c:v>
                </c:pt>
                <c:pt idx="64">
                  <c:v>1984</c:v>
                </c:pt>
                <c:pt idx="65">
                  <c:v>1985</c:v>
                </c:pt>
                <c:pt idx="66">
                  <c:v>1986</c:v>
                </c:pt>
                <c:pt idx="67">
                  <c:v>1987</c:v>
                </c:pt>
                <c:pt idx="68">
                  <c:v>1988</c:v>
                </c:pt>
                <c:pt idx="69">
                  <c:v>1989</c:v>
                </c:pt>
                <c:pt idx="70">
                  <c:v>1990</c:v>
                </c:pt>
                <c:pt idx="71">
                  <c:v>1991</c:v>
                </c:pt>
                <c:pt idx="72">
                  <c:v>1992</c:v>
                </c:pt>
                <c:pt idx="73">
                  <c:v>1993</c:v>
                </c:pt>
                <c:pt idx="74">
                  <c:v>1994</c:v>
                </c:pt>
                <c:pt idx="75">
                  <c:v>1995</c:v>
                </c:pt>
                <c:pt idx="76">
                  <c:v>1996</c:v>
                </c:pt>
                <c:pt idx="77">
                  <c:v>1997</c:v>
                </c:pt>
                <c:pt idx="78">
                  <c:v>1998</c:v>
                </c:pt>
                <c:pt idx="79">
                  <c:v>1999</c:v>
                </c:pt>
                <c:pt idx="80">
                  <c:v>2000</c:v>
                </c:pt>
                <c:pt idx="81">
                  <c:v>2001</c:v>
                </c:pt>
                <c:pt idx="82">
                  <c:v>2002</c:v>
                </c:pt>
                <c:pt idx="83">
                  <c:v>2003</c:v>
                </c:pt>
                <c:pt idx="84">
                  <c:v>2004</c:v>
                </c:pt>
                <c:pt idx="85">
                  <c:v>2005</c:v>
                </c:pt>
                <c:pt idx="86">
                  <c:v>2006</c:v>
                </c:pt>
                <c:pt idx="87">
                  <c:v>2007</c:v>
                </c:pt>
                <c:pt idx="88">
                  <c:v>2008</c:v>
                </c:pt>
                <c:pt idx="89">
                  <c:v>2009</c:v>
                </c:pt>
                <c:pt idx="90">
                  <c:v>2010</c:v>
                </c:pt>
                <c:pt idx="91">
                  <c:v>2011</c:v>
                </c:pt>
                <c:pt idx="92">
                  <c:v>2012</c:v>
                </c:pt>
                <c:pt idx="93">
                  <c:v>2013</c:v>
                </c:pt>
                <c:pt idx="94">
                  <c:v>2014</c:v>
                </c:pt>
                <c:pt idx="95">
                  <c:v>2015</c:v>
                </c:pt>
                <c:pt idx="96">
                  <c:v>2016</c:v>
                </c:pt>
                <c:pt idx="97">
                  <c:v>2017</c:v>
                </c:pt>
                <c:pt idx="98">
                  <c:v>2018</c:v>
                </c:pt>
                <c:pt idx="99">
                  <c:v>2019</c:v>
                </c:pt>
                <c:pt idx="100">
                  <c:v>2020</c:v>
                </c:pt>
              </c:numCache>
            </c:numRef>
          </c:cat>
          <c:val>
            <c:numRef>
              <c:f>'F3-Real'!$E$41:$E$141</c:f>
              <c:numCache>
                <c:formatCode>General</c:formatCode>
                <c:ptCount val="101"/>
                <c:pt idx="40" formatCode="#,##0">
                  <c:v>33554.607680221619</c:v>
                </c:pt>
                <c:pt idx="42" formatCode="#,##0">
                  <c:v>35028.590260759302</c:v>
                </c:pt>
                <c:pt idx="44" formatCode="#,##0">
                  <c:v>37055.244186997137</c:v>
                </c:pt>
                <c:pt idx="46" formatCode="#,##0">
                  <c:v>38498.710024137326</c:v>
                </c:pt>
                <c:pt idx="48" formatCode="#,##0">
                  <c:v>51520.316795841558</c:v>
                </c:pt>
                <c:pt idx="50" formatCode="#,##0">
                  <c:v>37780.392989904474</c:v>
                </c:pt>
                <c:pt idx="52" formatCode="#,##0">
                  <c:v>43368.830956320504</c:v>
                </c:pt>
                <c:pt idx="53" formatCode="#,##0">
                  <c:v>39760.671399301602</c:v>
                </c:pt>
                <c:pt idx="54" formatCode="#,##0">
                  <c:v>37070.787713508129</c:v>
                </c:pt>
                <c:pt idx="55" formatCode="#,##0">
                  <c:v>34143.629093334726</c:v>
                </c:pt>
                <c:pt idx="56" formatCode="#,##0">
                  <c:v>36984.200216384292</c:v>
                </c:pt>
                <c:pt idx="57" formatCode="#,##0">
                  <c:v>38619.02193145296</c:v>
                </c:pt>
                <c:pt idx="58" formatCode="#,##0">
                  <c:v>38297.958054782284</c:v>
                </c:pt>
                <c:pt idx="59" formatCode="#,##0">
                  <c:v>41172.235701640639</c:v>
                </c:pt>
                <c:pt idx="60" formatCode="#,##0">
                  <c:v>40505.609517777979</c:v>
                </c:pt>
                <c:pt idx="61" formatCode="#,##0">
                  <c:v>43807.066389223946</c:v>
                </c:pt>
                <c:pt idx="62" formatCode="#,##0">
                  <c:v>40357.27517183328</c:v>
                </c:pt>
                <c:pt idx="63" formatCode="#,##0">
                  <c:v>44670.05062947968</c:v>
                </c:pt>
                <c:pt idx="64" formatCode="#,##0">
                  <c:v>42332.333328730085</c:v>
                </c:pt>
                <c:pt idx="65" formatCode="#,##0">
                  <c:v>66544.753496517573</c:v>
                </c:pt>
                <c:pt idx="66" formatCode="#,##0">
                  <c:v>61833.803424740807</c:v>
                </c:pt>
                <c:pt idx="67" formatCode="#,##0">
                  <c:v>47474.977722750387</c:v>
                </c:pt>
                <c:pt idx="68" formatCode="#,##0">
                  <c:v>51738.108749448096</c:v>
                </c:pt>
                <c:pt idx="69" formatCode="#,##0">
                  <c:v>56480.964426061626</c:v>
                </c:pt>
                <c:pt idx="70" formatCode="#,##0">
                  <c:v>49164.461457045676</c:v>
                </c:pt>
                <c:pt idx="71" formatCode="#,##0">
                  <c:v>50036.111380797076</c:v>
                </c:pt>
                <c:pt idx="72" formatCode="#,##0">
                  <c:v>49834.679560082121</c:v>
                </c:pt>
                <c:pt idx="73" formatCode="#,##0">
                  <c:v>58051.548893797641</c:v>
                </c:pt>
                <c:pt idx="74" formatCode="#,##0">
                  <c:v>62016.336188929585</c:v>
                </c:pt>
                <c:pt idx="75" formatCode="#,##0">
                  <c:v>64435.100436903966</c:v>
                </c:pt>
                <c:pt idx="76" formatCode="#,##0">
                  <c:v>78488.554044780845</c:v>
                </c:pt>
                <c:pt idx="77" formatCode="#,##0">
                  <c:v>94849.858780653056</c:v>
                </c:pt>
                <c:pt idx="78" formatCode="#,##0">
                  <c:v>102726.02284043338</c:v>
                </c:pt>
                <c:pt idx="79" formatCode="#,##0">
                  <c:v>120063.37880047467</c:v>
                </c:pt>
                <c:pt idx="80" formatCode="#,##0">
                  <c:v>126385.92558611558</c:v>
                </c:pt>
                <c:pt idx="81" formatCode="#,##0">
                  <c:v>98696.366792861154</c:v>
                </c:pt>
                <c:pt idx="82" formatCode="#,##0">
                  <c:v>87422.826251126491</c:v>
                </c:pt>
                <c:pt idx="83" formatCode="#,##0">
                  <c:v>91620.094825866254</c:v>
                </c:pt>
                <c:pt idx="84" formatCode="#,##0">
                  <c:v>108816.44759569824</c:v>
                </c:pt>
                <c:pt idx="85" formatCode="#,##0">
                  <c:v>139638.74815906954</c:v>
                </c:pt>
                <c:pt idx="86" formatCode="#,##0">
                  <c:v>127172.3919795901</c:v>
                </c:pt>
                <c:pt idx="87" formatCode="#,##0">
                  <c:v>134199.13001963138</c:v>
                </c:pt>
                <c:pt idx="88" formatCode="#,##0">
                  <c:v>99192.449362291794</c:v>
                </c:pt>
                <c:pt idx="89" formatCode="#,##0">
                  <c:v>80337.743785580373</c:v>
                </c:pt>
                <c:pt idx="90" formatCode="#,##0">
                  <c:v>91992.347560784852</c:v>
                </c:pt>
                <c:pt idx="91" formatCode="#,##0">
                  <c:v>90942.628196504666</c:v>
                </c:pt>
                <c:pt idx="92" formatCode="#,##0">
                  <c:v>116309.00981868873</c:v>
                </c:pt>
                <c:pt idx="93" formatCode="#,##0">
                  <c:v>102088.35087499637</c:v>
                </c:pt>
                <c:pt idx="94" formatCode="#,##0">
                  <c:v>115821.08132160974</c:v>
                </c:pt>
                <c:pt idx="95" formatCode="#,##0">
                  <c:v>124215.50553649625</c:v>
                </c:pt>
                <c:pt idx="96" formatCode="#,##0">
                  <c:v>131002.17902699631</c:v>
                </c:pt>
              </c:numCache>
            </c:numRef>
          </c:val>
          <c:smooth val="0"/>
        </c:ser>
        <c:ser>
          <c:idx val="1"/>
          <c:order val="3"/>
          <c:tx>
            <c:v>0.10% Public</c:v>
          </c:tx>
          <c:spPr>
            <a:ln w="22225">
              <a:solidFill>
                <a:schemeClr val="tx1">
                  <a:lumMod val="50000"/>
                  <a:lumOff val="50000"/>
                </a:schemeClr>
              </a:solidFill>
              <a:prstDash val="sysDash"/>
            </a:ln>
          </c:spPr>
          <c:marker>
            <c:symbol val="none"/>
          </c:marker>
          <c:dPt>
            <c:idx val="1"/>
            <c:bubble3D val="0"/>
          </c:dPt>
          <c:dPt>
            <c:idx val="3"/>
            <c:bubble3D val="0"/>
          </c:dPt>
          <c:dPt>
            <c:idx val="5"/>
            <c:bubble3D val="0"/>
          </c:dPt>
          <c:cat>
            <c:numRef>
              <c:f>'F3-Real'!$A$41:$A$141</c:f>
              <c:numCache>
                <c:formatCode>General</c:formatCode>
                <c:ptCount val="101"/>
                <c:pt idx="0">
                  <c:v>1920</c:v>
                </c:pt>
                <c:pt idx="1">
                  <c:v>1921</c:v>
                </c:pt>
                <c:pt idx="2">
                  <c:v>1922</c:v>
                </c:pt>
                <c:pt idx="3">
                  <c:v>1923</c:v>
                </c:pt>
                <c:pt idx="4">
                  <c:v>1924</c:v>
                </c:pt>
                <c:pt idx="5">
                  <c:v>1925</c:v>
                </c:pt>
                <c:pt idx="6">
                  <c:v>1926</c:v>
                </c:pt>
                <c:pt idx="7">
                  <c:v>1927</c:v>
                </c:pt>
                <c:pt idx="8">
                  <c:v>1928</c:v>
                </c:pt>
                <c:pt idx="9">
                  <c:v>1929</c:v>
                </c:pt>
                <c:pt idx="10">
                  <c:v>1930</c:v>
                </c:pt>
                <c:pt idx="11">
                  <c:v>1931</c:v>
                </c:pt>
                <c:pt idx="12">
                  <c:v>1932</c:v>
                </c:pt>
                <c:pt idx="13">
                  <c:v>1933</c:v>
                </c:pt>
                <c:pt idx="14">
                  <c:v>1934</c:v>
                </c:pt>
                <c:pt idx="15">
                  <c:v>1935</c:v>
                </c:pt>
                <c:pt idx="16">
                  <c:v>1936</c:v>
                </c:pt>
                <c:pt idx="17">
                  <c:v>1937</c:v>
                </c:pt>
                <c:pt idx="18">
                  <c:v>1938</c:v>
                </c:pt>
                <c:pt idx="19">
                  <c:v>1939</c:v>
                </c:pt>
                <c:pt idx="20">
                  <c:v>1940</c:v>
                </c:pt>
                <c:pt idx="21">
                  <c:v>1941</c:v>
                </c:pt>
                <c:pt idx="22">
                  <c:v>1942</c:v>
                </c:pt>
                <c:pt idx="23">
                  <c:v>1943</c:v>
                </c:pt>
                <c:pt idx="24">
                  <c:v>1944</c:v>
                </c:pt>
                <c:pt idx="25">
                  <c:v>1945</c:v>
                </c:pt>
                <c:pt idx="26">
                  <c:v>1946</c:v>
                </c:pt>
                <c:pt idx="27">
                  <c:v>1947</c:v>
                </c:pt>
                <c:pt idx="28">
                  <c:v>1948</c:v>
                </c:pt>
                <c:pt idx="29">
                  <c:v>1949</c:v>
                </c:pt>
                <c:pt idx="30">
                  <c:v>1950</c:v>
                </c:pt>
                <c:pt idx="31">
                  <c:v>1951</c:v>
                </c:pt>
                <c:pt idx="32">
                  <c:v>1952</c:v>
                </c:pt>
                <c:pt idx="33">
                  <c:v>1953</c:v>
                </c:pt>
                <c:pt idx="34">
                  <c:v>1954</c:v>
                </c:pt>
                <c:pt idx="35">
                  <c:v>1955</c:v>
                </c:pt>
                <c:pt idx="36">
                  <c:v>1956</c:v>
                </c:pt>
                <c:pt idx="37">
                  <c:v>1957</c:v>
                </c:pt>
                <c:pt idx="38">
                  <c:v>1958</c:v>
                </c:pt>
                <c:pt idx="39">
                  <c:v>1959</c:v>
                </c:pt>
                <c:pt idx="40">
                  <c:v>1960</c:v>
                </c:pt>
                <c:pt idx="41">
                  <c:v>1961</c:v>
                </c:pt>
                <c:pt idx="42">
                  <c:v>1962</c:v>
                </c:pt>
                <c:pt idx="43">
                  <c:v>1963</c:v>
                </c:pt>
                <c:pt idx="44">
                  <c:v>1964</c:v>
                </c:pt>
                <c:pt idx="45">
                  <c:v>1965</c:v>
                </c:pt>
                <c:pt idx="46">
                  <c:v>1966</c:v>
                </c:pt>
                <c:pt idx="47">
                  <c:v>1967</c:v>
                </c:pt>
                <c:pt idx="48">
                  <c:v>1968</c:v>
                </c:pt>
                <c:pt idx="49">
                  <c:v>1969</c:v>
                </c:pt>
                <c:pt idx="50">
                  <c:v>1970</c:v>
                </c:pt>
                <c:pt idx="51">
                  <c:v>1971</c:v>
                </c:pt>
                <c:pt idx="52">
                  <c:v>1972</c:v>
                </c:pt>
                <c:pt idx="53">
                  <c:v>1973</c:v>
                </c:pt>
                <c:pt idx="54">
                  <c:v>1974</c:v>
                </c:pt>
                <c:pt idx="55">
                  <c:v>1975</c:v>
                </c:pt>
                <c:pt idx="56">
                  <c:v>1976</c:v>
                </c:pt>
                <c:pt idx="57">
                  <c:v>1977</c:v>
                </c:pt>
                <c:pt idx="58">
                  <c:v>1978</c:v>
                </c:pt>
                <c:pt idx="59">
                  <c:v>1979</c:v>
                </c:pt>
                <c:pt idx="60">
                  <c:v>1980</c:v>
                </c:pt>
                <c:pt idx="61">
                  <c:v>1981</c:v>
                </c:pt>
                <c:pt idx="62">
                  <c:v>1982</c:v>
                </c:pt>
                <c:pt idx="63">
                  <c:v>1983</c:v>
                </c:pt>
                <c:pt idx="64">
                  <c:v>1984</c:v>
                </c:pt>
                <c:pt idx="65">
                  <c:v>1985</c:v>
                </c:pt>
                <c:pt idx="66">
                  <c:v>1986</c:v>
                </c:pt>
                <c:pt idx="67">
                  <c:v>1987</c:v>
                </c:pt>
                <c:pt idx="68">
                  <c:v>1988</c:v>
                </c:pt>
                <c:pt idx="69">
                  <c:v>1989</c:v>
                </c:pt>
                <c:pt idx="70">
                  <c:v>1990</c:v>
                </c:pt>
                <c:pt idx="71">
                  <c:v>1991</c:v>
                </c:pt>
                <c:pt idx="72">
                  <c:v>1992</c:v>
                </c:pt>
                <c:pt idx="73">
                  <c:v>1993</c:v>
                </c:pt>
                <c:pt idx="74">
                  <c:v>1994</c:v>
                </c:pt>
                <c:pt idx="75">
                  <c:v>1995</c:v>
                </c:pt>
                <c:pt idx="76">
                  <c:v>1996</c:v>
                </c:pt>
                <c:pt idx="77">
                  <c:v>1997</c:v>
                </c:pt>
                <c:pt idx="78">
                  <c:v>1998</c:v>
                </c:pt>
                <c:pt idx="79">
                  <c:v>1999</c:v>
                </c:pt>
                <c:pt idx="80">
                  <c:v>2000</c:v>
                </c:pt>
                <c:pt idx="81">
                  <c:v>2001</c:v>
                </c:pt>
                <c:pt idx="82">
                  <c:v>2002</c:v>
                </c:pt>
                <c:pt idx="83">
                  <c:v>2003</c:v>
                </c:pt>
                <c:pt idx="84">
                  <c:v>2004</c:v>
                </c:pt>
                <c:pt idx="85">
                  <c:v>2005</c:v>
                </c:pt>
                <c:pt idx="86">
                  <c:v>2006</c:v>
                </c:pt>
                <c:pt idx="87">
                  <c:v>2007</c:v>
                </c:pt>
                <c:pt idx="88">
                  <c:v>2008</c:v>
                </c:pt>
                <c:pt idx="89">
                  <c:v>2009</c:v>
                </c:pt>
                <c:pt idx="90">
                  <c:v>2010</c:v>
                </c:pt>
                <c:pt idx="91">
                  <c:v>2011</c:v>
                </c:pt>
                <c:pt idx="92">
                  <c:v>2012</c:v>
                </c:pt>
                <c:pt idx="93">
                  <c:v>2013</c:v>
                </c:pt>
                <c:pt idx="94">
                  <c:v>2014</c:v>
                </c:pt>
                <c:pt idx="95">
                  <c:v>2015</c:v>
                </c:pt>
                <c:pt idx="96">
                  <c:v>2016</c:v>
                </c:pt>
                <c:pt idx="97">
                  <c:v>2017</c:v>
                </c:pt>
                <c:pt idx="98">
                  <c:v>2018</c:v>
                </c:pt>
                <c:pt idx="99">
                  <c:v>2019</c:v>
                </c:pt>
                <c:pt idx="100">
                  <c:v>2020</c:v>
                </c:pt>
              </c:numCache>
            </c:numRef>
          </c:cat>
          <c:val>
            <c:numRef>
              <c:f>'F3-Real'!$D$41:$D$141</c:f>
              <c:numCache>
                <c:formatCode>#,##0</c:formatCode>
                <c:ptCount val="101"/>
                <c:pt idx="2">
                  <c:v>19505.281906256037</c:v>
                </c:pt>
                <c:pt idx="3">
                  <c:v>20592.493292013089</c:v>
                </c:pt>
                <c:pt idx="4">
                  <c:v>22004.306676707289</c:v>
                </c:pt>
                <c:pt idx="5">
                  <c:v>21146.321136809067</c:v>
                </c:pt>
                <c:pt idx="6">
                  <c:v>23772.828588722052</c:v>
                </c:pt>
                <c:pt idx="7">
                  <c:v>25124.500966250853</c:v>
                </c:pt>
                <c:pt idx="8">
                  <c:v>23922.12219296347</c:v>
                </c:pt>
                <c:pt idx="9">
                  <c:v>22880.274123841369</c:v>
                </c:pt>
                <c:pt idx="10">
                  <c:v>20509.254637728831</c:v>
                </c:pt>
                <c:pt idx="11">
                  <c:v>16755.237954025975</c:v>
                </c:pt>
                <c:pt idx="12">
                  <c:v>16421.860641358384</c:v>
                </c:pt>
                <c:pt idx="13">
                  <c:v>13310.693316347904</c:v>
                </c:pt>
                <c:pt idx="14">
                  <c:v>14519.146416131838</c:v>
                </c:pt>
                <c:pt idx="15">
                  <c:v>15530.989429429106</c:v>
                </c:pt>
                <c:pt idx="16">
                  <c:v>19613.063524377103</c:v>
                </c:pt>
                <c:pt idx="17">
                  <c:v>19490.113109404461</c:v>
                </c:pt>
                <c:pt idx="18">
                  <c:v>15234.240894266823</c:v>
                </c:pt>
                <c:pt idx="19">
                  <c:v>18539.592254943269</c:v>
                </c:pt>
                <c:pt idx="20">
                  <c:v>20233.727891142727</c:v>
                </c:pt>
                <c:pt idx="21">
                  <c:v>20540.484274482325</c:v>
                </c:pt>
                <c:pt idx="22">
                  <c:v>20048.759283086074</c:v>
                </c:pt>
                <c:pt idx="24">
                  <c:v>22239.26833063201</c:v>
                </c:pt>
                <c:pt idx="25">
                  <c:v>28320.424500563237</c:v>
                </c:pt>
                <c:pt idx="26">
                  <c:v>28676.883442015271</c:v>
                </c:pt>
                <c:pt idx="27">
                  <c:v>30744.239887325515</c:v>
                </c:pt>
                <c:pt idx="28">
                  <c:v>23493.508256495501</c:v>
                </c:pt>
                <c:pt idx="29">
                  <c:v>25011.936825487181</c:v>
                </c:pt>
                <c:pt idx="30">
                  <c:v>30216.054022568565</c:v>
                </c:pt>
                <c:pt idx="32">
                  <c:v>28761.662906749487</c:v>
                </c:pt>
                <c:pt idx="33">
                  <c:v>29077.507356340004</c:v>
                </c:pt>
                <c:pt idx="34">
                  <c:v>30303.684859887388</c:v>
                </c:pt>
                <c:pt idx="36">
                  <c:v>34378.784960570047</c:v>
                </c:pt>
                <c:pt idx="38">
                  <c:v>35191.46970724938</c:v>
                </c:pt>
                <c:pt idx="40">
                  <c:v>27039.733337446858</c:v>
                </c:pt>
                <c:pt idx="42">
                  <c:v>31685.3820092282</c:v>
                </c:pt>
                <c:pt idx="44">
                  <c:v>37234.291629449144</c:v>
                </c:pt>
                <c:pt idx="46">
                  <c:v>38783.515455302251</c:v>
                </c:pt>
                <c:pt idx="48">
                  <c:v>49542.111651422951</c:v>
                </c:pt>
                <c:pt idx="50">
                  <c:v>38011.631163212871</c:v>
                </c:pt>
                <c:pt idx="52">
                  <c:v>40517.284516891385</c:v>
                </c:pt>
                <c:pt idx="53">
                  <c:v>37345.666216263562</c:v>
                </c:pt>
                <c:pt idx="54">
                  <c:v>37194.749055473178</c:v>
                </c:pt>
                <c:pt idx="55">
                  <c:v>35071.684702019251</c:v>
                </c:pt>
                <c:pt idx="56">
                  <c:v>37159.016085514369</c:v>
                </c:pt>
                <c:pt idx="57">
                  <c:v>38669.622617422407</c:v>
                </c:pt>
                <c:pt idx="58">
                  <c:v>38357.002113136718</c:v>
                </c:pt>
                <c:pt idx="59">
                  <c:v>46249.184421165031</c:v>
                </c:pt>
                <c:pt idx="60">
                  <c:v>44456.256121461643</c:v>
                </c:pt>
                <c:pt idx="61">
                  <c:v>46746.703596964726</c:v>
                </c:pt>
                <c:pt idx="62">
                  <c:v>39373.924278273596</c:v>
                </c:pt>
                <c:pt idx="63">
                  <c:v>49809.307913317112</c:v>
                </c:pt>
                <c:pt idx="64">
                  <c:v>41595.013051859634</c:v>
                </c:pt>
                <c:pt idx="65">
                  <c:v>64076.535269075604</c:v>
                </c:pt>
                <c:pt idx="66">
                  <c:v>58701.721107462305</c:v>
                </c:pt>
                <c:pt idx="67">
                  <c:v>41150.897465358998</c:v>
                </c:pt>
                <c:pt idx="68">
                  <c:v>46877.408737101781</c:v>
                </c:pt>
                <c:pt idx="69">
                  <c:v>51127.592334266817</c:v>
                </c:pt>
                <c:pt idx="70">
                  <c:v>46229.557419850542</c:v>
                </c:pt>
                <c:pt idx="71">
                  <c:v>47232.427189138325</c:v>
                </c:pt>
                <c:pt idx="72">
                  <c:v>47756.867866126311</c:v>
                </c:pt>
                <c:pt idx="73">
                  <c:v>55553.105445996211</c:v>
                </c:pt>
                <c:pt idx="74">
                  <c:v>60119.507683372409</c:v>
                </c:pt>
                <c:pt idx="75">
                  <c:v>58120.925734937264</c:v>
                </c:pt>
                <c:pt idx="76">
                  <c:v>75642.460533039237</c:v>
                </c:pt>
                <c:pt idx="77">
                  <c:v>99384.535572253415</c:v>
                </c:pt>
                <c:pt idx="78">
                  <c:v>100833.01321497066</c:v>
                </c:pt>
                <c:pt idx="79">
                  <c:v>114160.26334388609</c:v>
                </c:pt>
                <c:pt idx="80">
                  <c:v>136006.48204537525</c:v>
                </c:pt>
                <c:pt idx="81">
                  <c:v>103716.24295214456</c:v>
                </c:pt>
                <c:pt idx="82">
                  <c:v>84661.998907915986</c:v>
                </c:pt>
                <c:pt idx="83">
                  <c:v>96002.907454650529</c:v>
                </c:pt>
                <c:pt idx="84">
                  <c:v>112251.57294825945</c:v>
                </c:pt>
                <c:pt idx="85">
                  <c:v>146104.37421209321</c:v>
                </c:pt>
                <c:pt idx="86">
                  <c:v>121145.9999665759</c:v>
                </c:pt>
                <c:pt idx="87">
                  <c:v>137168.32700433111</c:v>
                </c:pt>
                <c:pt idx="88">
                  <c:v>105195.15834506736</c:v>
                </c:pt>
                <c:pt idx="89">
                  <c:v>77124.329076017399</c:v>
                </c:pt>
                <c:pt idx="90">
                  <c:v>91967.121499496978</c:v>
                </c:pt>
                <c:pt idx="91">
                  <c:v>102538.70800397254</c:v>
                </c:pt>
                <c:pt idx="92">
                  <c:v>103377.78444894429</c:v>
                </c:pt>
              </c:numCache>
            </c:numRef>
          </c:val>
          <c:smooth val="0"/>
        </c:ser>
        <c:dLbls>
          <c:showLegendKey val="0"/>
          <c:showVal val="0"/>
          <c:showCatName val="0"/>
          <c:showSerName val="0"/>
          <c:showPercent val="0"/>
          <c:showBubbleSize val="0"/>
        </c:dLbls>
        <c:smooth val="0"/>
        <c:axId val="494396320"/>
        <c:axId val="494390048"/>
      </c:lineChart>
      <c:catAx>
        <c:axId val="494396320"/>
        <c:scaling>
          <c:orientation val="minMax"/>
        </c:scaling>
        <c:delete val="0"/>
        <c:axPos val="b"/>
        <c:majorGridlines>
          <c:spPr>
            <a:ln w="6350">
              <a:solidFill>
                <a:schemeClr val="bg1">
                  <a:lumMod val="65000"/>
                </a:schemeClr>
              </a:solidFill>
              <a:prstDash val="sysDash"/>
            </a:ln>
          </c:spPr>
        </c:majorGridlines>
        <c:numFmt formatCode="General"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494390048"/>
        <c:crossesAt val="0"/>
        <c:auto val="1"/>
        <c:lblAlgn val="ctr"/>
        <c:lblOffset val="100"/>
        <c:tickLblSkip val="20"/>
        <c:tickMarkSkip val="20"/>
        <c:noMultiLvlLbl val="0"/>
      </c:catAx>
      <c:valAx>
        <c:axId val="494390048"/>
        <c:scaling>
          <c:logBase val="10"/>
          <c:orientation val="minMax"/>
          <c:max val="2251000"/>
          <c:min val="10000"/>
        </c:scaling>
        <c:delete val="0"/>
        <c:axPos val="l"/>
        <c:majorGridlines>
          <c:spPr>
            <a:ln w="6350">
              <a:solidFill>
                <a:schemeClr val="bg1">
                  <a:lumMod val="65000"/>
                </a:schemeClr>
              </a:solidFill>
              <a:prstDash val="sysDash"/>
            </a:ln>
          </c:spPr>
        </c:majorGridlines>
        <c:numFmt formatCode="_(&quot;$&quot;* #,##0_);_(&quot;$&quot;* \(#,##0\);_(&quot;$&quot;* &quot;-&quot;_);_(@_)"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494396320"/>
        <c:crosses val="autoZero"/>
        <c:crossBetween val="midCat"/>
        <c:minorUnit val="0.05"/>
      </c:valAx>
      <c:spPr>
        <a:solidFill>
          <a:srgbClr val="FFFFFF"/>
        </a:solidFill>
        <a:ln w="3175">
          <a:noFill/>
          <a:prstDash val="solid"/>
        </a:ln>
      </c:spPr>
    </c:plotArea>
    <c:plotVisOnly val="1"/>
    <c:dispBlanksAs val="span"/>
    <c:showDLblsOverMax val="0"/>
  </c:chart>
  <c:spPr>
    <a:solidFill>
      <a:schemeClr val="bg1"/>
    </a:solidFill>
    <a:ln w="9525">
      <a:noFill/>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000000000000866" r="0.75000000000000866" t="1" header="0.5" footer="0.5"/>
    <c:pageSetup orientation="landscape" verticalDpi="96"/>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a:pPr>
            <a:r>
              <a:rPr lang="en-US" sz="1300" b="1"/>
              <a:t>Contributions/Income: Top 0.01% share</a:t>
            </a:r>
          </a:p>
        </c:rich>
      </c:tx>
      <c:layout>
        <c:manualLayout>
          <c:xMode val="edge"/>
          <c:yMode val="edge"/>
          <c:x val="0.28516750221037185"/>
          <c:y val="0"/>
        </c:manualLayout>
      </c:layout>
      <c:overlay val="0"/>
    </c:title>
    <c:autoTitleDeleted val="0"/>
    <c:plotArea>
      <c:layout>
        <c:manualLayout>
          <c:layoutTarget val="inner"/>
          <c:xMode val="edge"/>
          <c:yMode val="edge"/>
          <c:x val="0.15110888916663198"/>
          <c:y val="5.6927787872669756E-2"/>
          <c:w val="0.80338828016868247"/>
          <c:h val="0.87995715279179831"/>
        </c:manualLayout>
      </c:layout>
      <c:lineChart>
        <c:grouping val="standard"/>
        <c:varyColors val="0"/>
        <c:ser>
          <c:idx val="0"/>
          <c:order val="0"/>
          <c:tx>
            <c:v>Duq</c:v>
          </c:tx>
          <c:spPr>
            <a:ln w="25400">
              <a:solidFill>
                <a:schemeClr val="bg1">
                  <a:lumMod val="65000"/>
                </a:schemeClr>
              </a:solidFill>
              <a:prstDash val="solid"/>
            </a:ln>
          </c:spPr>
          <c:marker>
            <c:symbol val="none"/>
          </c:marker>
          <c:dPt>
            <c:idx val="54"/>
            <c:bubble3D val="0"/>
            <c:spPr>
              <a:ln w="25400">
                <a:solidFill>
                  <a:schemeClr val="bg1">
                    <a:lumMod val="65000"/>
                  </a:schemeClr>
                </a:solidFill>
                <a:prstDash val="solid"/>
              </a:ln>
            </c:spPr>
          </c:dPt>
          <c:cat>
            <c:numRef>
              <c:f>'FA1-Partial'!$A$37:$A$97</c:f>
              <c:numCache>
                <c:formatCode>General</c:formatCode>
                <c:ptCount val="61"/>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pt idx="56">
                  <c:v>2016</c:v>
                </c:pt>
                <c:pt idx="57">
                  <c:v>2017</c:v>
                </c:pt>
                <c:pt idx="58">
                  <c:v>2018</c:v>
                </c:pt>
                <c:pt idx="59">
                  <c:v>2019</c:v>
                </c:pt>
                <c:pt idx="60">
                  <c:v>2020</c:v>
                </c:pt>
              </c:numCache>
            </c:numRef>
          </c:cat>
          <c:val>
            <c:numRef>
              <c:f>'FA1-Partial'!$B$37:$B$97</c:f>
              <c:numCache>
                <c:formatCode>0.000</c:formatCode>
                <c:ptCount val="61"/>
                <c:pt idx="0">
                  <c:v>0.18370258808135986</c:v>
                </c:pt>
                <c:pt idx="2">
                  <c:v>0.19173590838909149</c:v>
                </c:pt>
                <c:pt idx="4">
                  <c:v>0.19323407113552094</c:v>
                </c:pt>
                <c:pt idx="6">
                  <c:v>0.16771937906742096</c:v>
                </c:pt>
                <c:pt idx="8">
                  <c:v>0.19195100665092468</c:v>
                </c:pt>
                <c:pt idx="10">
                  <c:v>0.15182901918888092</c:v>
                </c:pt>
                <c:pt idx="12">
                  <c:v>0.14235158264636993</c:v>
                </c:pt>
                <c:pt idx="13">
                  <c:v>0.1126420646905899</c:v>
                </c:pt>
                <c:pt idx="14">
                  <c:v>0.10186830908060074</c:v>
                </c:pt>
                <c:pt idx="15">
                  <c:v>0.11073751002550125</c:v>
                </c:pt>
                <c:pt idx="16">
                  <c:v>0.11032526195049286</c:v>
                </c:pt>
                <c:pt idx="17">
                  <c:v>0.11107464879751205</c:v>
                </c:pt>
                <c:pt idx="18">
                  <c:v>0.10067892819643021</c:v>
                </c:pt>
                <c:pt idx="19">
                  <c:v>0.11787800490856171</c:v>
                </c:pt>
                <c:pt idx="20">
                  <c:v>0.10876652598381042</c:v>
                </c:pt>
                <c:pt idx="21">
                  <c:v>0.12870089709758759</c:v>
                </c:pt>
                <c:pt idx="22">
                  <c:v>8.4223732352256775E-2</c:v>
                </c:pt>
                <c:pt idx="23">
                  <c:v>7.9008191823959351E-2</c:v>
                </c:pt>
                <c:pt idx="24">
                  <c:v>8.1439316272735596E-2</c:v>
                </c:pt>
                <c:pt idx="25">
                  <c:v>7.8300096094608307E-2</c:v>
                </c:pt>
                <c:pt idx="26">
                  <c:v>0.10092118382453918</c:v>
                </c:pt>
                <c:pt idx="27">
                  <c:v>4.7316454350948334E-2</c:v>
                </c:pt>
                <c:pt idx="28">
                  <c:v>4.424922913312912E-2</c:v>
                </c:pt>
                <c:pt idx="29">
                  <c:v>4.2416885495185852E-2</c:v>
                </c:pt>
                <c:pt idx="30">
                  <c:v>4.0312815457582474E-2</c:v>
                </c:pt>
                <c:pt idx="31">
                  <c:v>7.1500591933727264E-2</c:v>
                </c:pt>
                <c:pt idx="32">
                  <c:v>3.5154171288013458E-2</c:v>
                </c:pt>
                <c:pt idx="33">
                  <c:v>5.1010515540838242E-2</c:v>
                </c:pt>
                <c:pt idx="34">
                  <c:v>5.7579375803470612E-2</c:v>
                </c:pt>
                <c:pt idx="35">
                  <c:v>4.7401860356330872E-2</c:v>
                </c:pt>
                <c:pt idx="36">
                  <c:v>6.4663425087928772E-2</c:v>
                </c:pt>
                <c:pt idx="37">
                  <c:v>7.444530725479126E-2</c:v>
                </c:pt>
                <c:pt idx="38">
                  <c:v>6.5787836909294128E-2</c:v>
                </c:pt>
                <c:pt idx="39">
                  <c:v>6.2063165009021759E-2</c:v>
                </c:pt>
                <c:pt idx="40">
                  <c:v>6.1263587325811386E-2</c:v>
                </c:pt>
                <c:pt idx="41">
                  <c:v>5.8879591524600983E-2</c:v>
                </c:pt>
                <c:pt idx="42">
                  <c:v>7.2522386908531189E-2</c:v>
                </c:pt>
                <c:pt idx="43">
                  <c:v>6.6449202597141266E-2</c:v>
                </c:pt>
                <c:pt idx="44">
                  <c:v>6.486356258392334E-2</c:v>
                </c:pt>
                <c:pt idx="45">
                  <c:v>6.5639585256576538E-2</c:v>
                </c:pt>
                <c:pt idx="46">
                  <c:v>7.6668843626976013E-2</c:v>
                </c:pt>
                <c:pt idx="47">
                  <c:v>4.8019655048847198E-2</c:v>
                </c:pt>
                <c:pt idx="48">
                  <c:v>5.7341277599334717E-2</c:v>
                </c:pt>
                <c:pt idx="49">
                  <c:v>9.3117699027061462E-2</c:v>
                </c:pt>
                <c:pt idx="50">
                  <c:v>8.8891275227069855E-2</c:v>
                </c:pt>
                <c:pt idx="51">
                  <c:v>9.4633206725120544E-2</c:v>
                </c:pt>
                <c:pt idx="52">
                  <c:v>5.8285310864448547E-2</c:v>
                </c:pt>
              </c:numCache>
            </c:numRef>
          </c:val>
          <c:smooth val="0"/>
        </c:ser>
        <c:ser>
          <c:idx val="1"/>
          <c:order val="1"/>
          <c:tx>
            <c:v>AS partial after-tax</c:v>
          </c:tx>
          <c:spPr>
            <a:ln w="25400">
              <a:solidFill>
                <a:schemeClr val="tx1"/>
              </a:solidFill>
              <a:prstDash val="solid"/>
            </a:ln>
          </c:spPr>
          <c:marker>
            <c:symbol val="none"/>
          </c:marker>
          <c:dPt>
            <c:idx val="1"/>
            <c:bubble3D val="0"/>
          </c:dPt>
          <c:dPt>
            <c:idx val="3"/>
            <c:bubble3D val="0"/>
          </c:dPt>
          <c:dPt>
            <c:idx val="5"/>
            <c:bubble3D val="0"/>
          </c:dPt>
          <c:cat>
            <c:numRef>
              <c:f>'FA1-Partial'!$A$37:$A$97</c:f>
              <c:numCache>
                <c:formatCode>General</c:formatCode>
                <c:ptCount val="61"/>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pt idx="56">
                  <c:v>2016</c:v>
                </c:pt>
                <c:pt idx="57">
                  <c:v>2017</c:v>
                </c:pt>
                <c:pt idx="58">
                  <c:v>2018</c:v>
                </c:pt>
                <c:pt idx="59">
                  <c:v>2019</c:v>
                </c:pt>
                <c:pt idx="60">
                  <c:v>2020</c:v>
                </c:pt>
              </c:numCache>
            </c:numRef>
          </c:cat>
          <c:val>
            <c:numRef>
              <c:f>'FA1-Partial'!$C$37:$C$97</c:f>
              <c:numCache>
                <c:formatCode>0.000</c:formatCode>
                <c:ptCount val="61"/>
                <c:pt idx="0">
                  <c:v>4.4813174396610256E-2</c:v>
                </c:pt>
                <c:pt idx="2">
                  <c:v>5.0563994323439831E-2</c:v>
                </c:pt>
                <c:pt idx="4">
                  <c:v>5.4913067450423951E-2</c:v>
                </c:pt>
                <c:pt idx="6">
                  <c:v>4.8042277389311883E-2</c:v>
                </c:pt>
                <c:pt idx="8">
                  <c:v>6.0041671386692544E-2</c:v>
                </c:pt>
                <c:pt idx="10">
                  <c:v>5.4504091841135568E-2</c:v>
                </c:pt>
                <c:pt idx="12">
                  <c:v>5.675212471510261E-2</c:v>
                </c:pt>
                <c:pt idx="13">
                  <c:v>4.138395855837574E-2</c:v>
                </c:pt>
                <c:pt idx="14">
                  <c:v>3.7353321701928982E-2</c:v>
                </c:pt>
                <c:pt idx="15">
                  <c:v>4.2154093300153295E-2</c:v>
                </c:pt>
                <c:pt idx="16">
                  <c:v>4.429522639249088E-2</c:v>
                </c:pt>
                <c:pt idx="17">
                  <c:v>4.1627302945246435E-2</c:v>
                </c:pt>
                <c:pt idx="18">
                  <c:v>3.8078450232754919E-2</c:v>
                </c:pt>
                <c:pt idx="19">
                  <c:v>3.9749544449133409E-2</c:v>
                </c:pt>
                <c:pt idx="20">
                  <c:v>4.4383476606424326E-2</c:v>
                </c:pt>
                <c:pt idx="21">
                  <c:v>4.6981661033559045E-2</c:v>
                </c:pt>
                <c:pt idx="22">
                  <c:v>3.9608645043176953E-2</c:v>
                </c:pt>
                <c:pt idx="23">
                  <c:v>3.9596616485525697E-2</c:v>
                </c:pt>
                <c:pt idx="24">
                  <c:v>3.8375458545425303E-2</c:v>
                </c:pt>
                <c:pt idx="25">
                  <c:v>4.1496770177216834E-2</c:v>
                </c:pt>
                <c:pt idx="26">
                  <c:v>5.8062240478808404E-2</c:v>
                </c:pt>
                <c:pt idx="27">
                  <c:v>4.3023932729335648E-2</c:v>
                </c:pt>
                <c:pt idx="28">
                  <c:v>3.3079946191385136E-2</c:v>
                </c:pt>
                <c:pt idx="29">
                  <c:v>3.6746138255778077E-2</c:v>
                </c:pt>
                <c:pt idx="30">
                  <c:v>3.5997081863850894E-2</c:v>
                </c:pt>
                <c:pt idx="31">
                  <c:v>3.7487130459838779E-2</c:v>
                </c:pt>
                <c:pt idx="32">
                  <c:v>3.2031207928092088E-2</c:v>
                </c:pt>
                <c:pt idx="33">
                  <c:v>4.6314974338354117E-2</c:v>
                </c:pt>
                <c:pt idx="34">
                  <c:v>5.0081455543079696E-2</c:v>
                </c:pt>
                <c:pt idx="35">
                  <c:v>4.5682225131044266E-2</c:v>
                </c:pt>
                <c:pt idx="36">
                  <c:v>6.1291317075415415E-2</c:v>
                </c:pt>
                <c:pt idx="37">
                  <c:v>6.8606569461600639E-2</c:v>
                </c:pt>
                <c:pt idx="38">
                  <c:v>6.7004969676623713E-2</c:v>
                </c:pt>
                <c:pt idx="39">
                  <c:v>7.517114220061083E-2</c:v>
                </c:pt>
                <c:pt idx="40">
                  <c:v>7.4612745587328E-2</c:v>
                </c:pt>
                <c:pt idx="41">
                  <c:v>7.0596550682146569E-2</c:v>
                </c:pt>
                <c:pt idx="42">
                  <c:v>6.5084868133207976E-2</c:v>
                </c:pt>
                <c:pt idx="43">
                  <c:v>6.7868178114897232E-2</c:v>
                </c:pt>
                <c:pt idx="44">
                  <c:v>7.3294751194928134E-2</c:v>
                </c:pt>
                <c:pt idx="45">
                  <c:v>7.6030315386460337E-2</c:v>
                </c:pt>
                <c:pt idx="46">
                  <c:v>7.8264188319906808E-2</c:v>
                </c:pt>
                <c:pt idx="47">
                  <c:v>8.3753276818862771E-2</c:v>
                </c:pt>
                <c:pt idx="48">
                  <c:v>6.3582230751686578E-2</c:v>
                </c:pt>
                <c:pt idx="49">
                  <c:v>5.8040255854226577E-2</c:v>
                </c:pt>
                <c:pt idx="50">
                  <c:v>5.9112221621567901E-2</c:v>
                </c:pt>
                <c:pt idx="51">
                  <c:v>6.3732017097979127E-2</c:v>
                </c:pt>
                <c:pt idx="52">
                  <c:v>8.1387111944828436E-2</c:v>
                </c:pt>
                <c:pt idx="53">
                  <c:v>8.1626858985851772E-2</c:v>
                </c:pt>
                <c:pt idx="54">
                  <c:v>8.7927245780212493E-2</c:v>
                </c:pt>
                <c:pt idx="55">
                  <c:v>8.8755321398552467E-2</c:v>
                </c:pt>
              </c:numCache>
            </c:numRef>
          </c:val>
          <c:smooth val="0"/>
        </c:ser>
        <c:dLbls>
          <c:showLegendKey val="0"/>
          <c:showVal val="0"/>
          <c:showCatName val="0"/>
          <c:showSerName val="0"/>
          <c:showPercent val="0"/>
          <c:showBubbleSize val="0"/>
        </c:dLbls>
        <c:smooth val="0"/>
        <c:axId val="494397104"/>
        <c:axId val="494390832"/>
      </c:lineChart>
      <c:catAx>
        <c:axId val="494397104"/>
        <c:scaling>
          <c:orientation val="minMax"/>
        </c:scaling>
        <c:delete val="0"/>
        <c:axPos val="b"/>
        <c:majorGridlines>
          <c:spPr>
            <a:ln w="6350">
              <a:solidFill>
                <a:schemeClr val="bg1">
                  <a:lumMod val="65000"/>
                </a:schemeClr>
              </a:solidFill>
              <a:prstDash val="sysDash"/>
            </a:ln>
          </c:spPr>
        </c:majorGridlines>
        <c:numFmt formatCode="General"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494390832"/>
        <c:crossesAt val="0"/>
        <c:auto val="1"/>
        <c:lblAlgn val="ctr"/>
        <c:lblOffset val="100"/>
        <c:tickLblSkip val="20"/>
        <c:tickMarkSkip val="20"/>
        <c:noMultiLvlLbl val="0"/>
      </c:catAx>
      <c:valAx>
        <c:axId val="494390832"/>
        <c:scaling>
          <c:orientation val="minMax"/>
          <c:max val="0.20750000000000002"/>
          <c:min val="0"/>
        </c:scaling>
        <c:delete val="0"/>
        <c:axPos val="l"/>
        <c:majorGridlines>
          <c:spPr>
            <a:ln w="6350">
              <a:solidFill>
                <a:schemeClr val="bg1">
                  <a:lumMod val="65000"/>
                </a:schemeClr>
              </a:solidFill>
              <a:prstDash val="sysDash"/>
            </a:ln>
          </c:spPr>
        </c:majorGridlines>
        <c:numFmt formatCode="0%" sourceLinked="0"/>
        <c:majorTickMark val="out"/>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en-US"/>
          </a:p>
        </c:txPr>
        <c:crossAx val="494397104"/>
        <c:crosses val="autoZero"/>
        <c:crossBetween val="midCat"/>
        <c:majorUnit val="0.05"/>
        <c:minorUnit val="0.05"/>
      </c:valAx>
      <c:spPr>
        <a:solidFill>
          <a:srgbClr val="FFFFFF"/>
        </a:solidFill>
        <a:ln w="3175">
          <a:noFill/>
          <a:prstDash val="solid"/>
        </a:ln>
      </c:spPr>
    </c:plotArea>
    <c:plotVisOnly val="1"/>
    <c:dispBlanksAs val="span"/>
    <c:showDLblsOverMax val="0"/>
  </c:chart>
  <c:spPr>
    <a:solidFill>
      <a:schemeClr val="bg1"/>
    </a:solidFill>
    <a:ln w="9525">
      <a:noFill/>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000000000000866" r="0.75000000000000866" t="1" header="0.5" footer="0.5"/>
    <c:pageSetup orientation="landscape" verticalDpi="96"/>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300"/>
            </a:pPr>
            <a:r>
              <a:rPr lang="en-US" sz="1300" b="1"/>
              <a:t>Contributions/Income: Top 0.1% share</a:t>
            </a:r>
          </a:p>
        </c:rich>
      </c:tx>
      <c:layout>
        <c:manualLayout>
          <c:xMode val="edge"/>
          <c:yMode val="edge"/>
          <c:x val="0.24989413360366991"/>
          <c:y val="0"/>
        </c:manualLayout>
      </c:layout>
      <c:overlay val="0"/>
    </c:title>
    <c:autoTitleDeleted val="0"/>
    <c:plotArea>
      <c:layout>
        <c:manualLayout>
          <c:layoutTarget val="inner"/>
          <c:xMode val="edge"/>
          <c:yMode val="edge"/>
          <c:x val="0.15110888916663198"/>
          <c:y val="6.2625793570675464E-2"/>
          <c:w val="0.80338828016868247"/>
          <c:h val="0.87425914709379271"/>
        </c:manualLayout>
      </c:layout>
      <c:lineChart>
        <c:grouping val="standard"/>
        <c:varyColors val="0"/>
        <c:ser>
          <c:idx val="0"/>
          <c:order val="0"/>
          <c:tx>
            <c:v>Duq</c:v>
          </c:tx>
          <c:spPr>
            <a:ln w="25400">
              <a:solidFill>
                <a:schemeClr val="bg1">
                  <a:lumMod val="65000"/>
                </a:schemeClr>
              </a:solidFill>
              <a:prstDash val="solid"/>
            </a:ln>
          </c:spPr>
          <c:marker>
            <c:symbol val="none"/>
          </c:marker>
          <c:dPt>
            <c:idx val="54"/>
            <c:bubble3D val="0"/>
            <c:spPr>
              <a:ln w="25400">
                <a:solidFill>
                  <a:schemeClr val="bg1">
                    <a:lumMod val="65000"/>
                  </a:schemeClr>
                </a:solidFill>
                <a:prstDash val="solid"/>
              </a:ln>
            </c:spPr>
          </c:dPt>
          <c:cat>
            <c:numRef>
              <c:f>'FA1-Partial'!$A$37:$A$97</c:f>
              <c:numCache>
                <c:formatCode>General</c:formatCode>
                <c:ptCount val="61"/>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pt idx="56">
                  <c:v>2016</c:v>
                </c:pt>
                <c:pt idx="57">
                  <c:v>2017</c:v>
                </c:pt>
                <c:pt idx="58">
                  <c:v>2018</c:v>
                </c:pt>
                <c:pt idx="59">
                  <c:v>2019</c:v>
                </c:pt>
                <c:pt idx="60">
                  <c:v>2020</c:v>
                </c:pt>
              </c:numCache>
            </c:numRef>
          </c:cat>
          <c:val>
            <c:numRef>
              <c:f>'FA1-Partial'!$D$37:$D$97</c:f>
              <c:numCache>
                <c:formatCode>0.000</c:formatCode>
                <c:ptCount val="61"/>
                <c:pt idx="0">
                  <c:v>8.6391858756542206E-2</c:v>
                </c:pt>
                <c:pt idx="2">
                  <c:v>9.4576247036457062E-2</c:v>
                </c:pt>
                <c:pt idx="4">
                  <c:v>9.6557281911373138E-2</c:v>
                </c:pt>
                <c:pt idx="6">
                  <c:v>8.5845321416854858E-2</c:v>
                </c:pt>
                <c:pt idx="8">
                  <c:v>9.91983562707901E-2</c:v>
                </c:pt>
                <c:pt idx="10">
                  <c:v>8.0435954034328461E-2</c:v>
                </c:pt>
                <c:pt idx="12">
                  <c:v>7.9447925090789795E-2</c:v>
                </c:pt>
                <c:pt idx="13">
                  <c:v>6.695874035358429E-2</c:v>
                </c:pt>
                <c:pt idx="14">
                  <c:v>6.1587277799844742E-2</c:v>
                </c:pt>
                <c:pt idx="15">
                  <c:v>6.5777711570262909E-2</c:v>
                </c:pt>
                <c:pt idx="16">
                  <c:v>6.7635558545589447E-2</c:v>
                </c:pt>
                <c:pt idx="17">
                  <c:v>6.8443074822425842E-2</c:v>
                </c:pt>
                <c:pt idx="18">
                  <c:v>6.4096242189407349E-2</c:v>
                </c:pt>
                <c:pt idx="19">
                  <c:v>7.5463555753231049E-2</c:v>
                </c:pt>
                <c:pt idx="20">
                  <c:v>7.1899525821208954E-2</c:v>
                </c:pt>
                <c:pt idx="21">
                  <c:v>8.0451257526874542E-2</c:v>
                </c:pt>
                <c:pt idx="22">
                  <c:v>5.9816155582666397E-2</c:v>
                </c:pt>
                <c:pt idx="23">
                  <c:v>6.622517853975296E-2</c:v>
                </c:pt>
                <c:pt idx="24">
                  <c:v>5.7889837771654129E-2</c:v>
                </c:pt>
                <c:pt idx="25">
                  <c:v>6.9753624498844147E-2</c:v>
                </c:pt>
                <c:pt idx="26">
                  <c:v>7.5141042470932007E-2</c:v>
                </c:pt>
                <c:pt idx="27">
                  <c:v>3.7539046257734299E-2</c:v>
                </c:pt>
                <c:pt idx="28">
                  <c:v>3.3198237419128418E-2</c:v>
                </c:pt>
                <c:pt idx="29">
                  <c:v>3.5197064280509949E-2</c:v>
                </c:pt>
                <c:pt idx="30">
                  <c:v>3.2312080264091492E-2</c:v>
                </c:pt>
                <c:pt idx="31">
                  <c:v>4.6827960759401321E-2</c:v>
                </c:pt>
                <c:pt idx="32">
                  <c:v>3.0727021396160126E-2</c:v>
                </c:pt>
                <c:pt idx="33">
                  <c:v>4.1154626756906509E-2</c:v>
                </c:pt>
                <c:pt idx="34">
                  <c:v>4.5033946633338928E-2</c:v>
                </c:pt>
                <c:pt idx="35">
                  <c:v>3.8413349539041519E-2</c:v>
                </c:pt>
                <c:pt idx="36">
                  <c:v>4.913034662604332E-2</c:v>
                </c:pt>
                <c:pt idx="37">
                  <c:v>5.7321712374687195E-2</c:v>
                </c:pt>
                <c:pt idx="38">
                  <c:v>5.1965672522783279E-2</c:v>
                </c:pt>
                <c:pt idx="39">
                  <c:v>5.1538269966840744E-2</c:v>
                </c:pt>
                <c:pt idx="40">
                  <c:v>5.3797226399183273E-2</c:v>
                </c:pt>
                <c:pt idx="41">
                  <c:v>4.8725444823503494E-2</c:v>
                </c:pt>
                <c:pt idx="42">
                  <c:v>5.1495131105184555E-2</c:v>
                </c:pt>
                <c:pt idx="43">
                  <c:v>5.2631709724664688E-2</c:v>
                </c:pt>
                <c:pt idx="44">
                  <c:v>5.3260460495948792E-2</c:v>
                </c:pt>
                <c:pt idx="45">
                  <c:v>5.7614456862211227E-2</c:v>
                </c:pt>
                <c:pt idx="46">
                  <c:v>5.5961411446332932E-2</c:v>
                </c:pt>
                <c:pt idx="47">
                  <c:v>4.6173892915248871E-2</c:v>
                </c:pt>
                <c:pt idx="48">
                  <c:v>4.6213582158088684E-2</c:v>
                </c:pt>
                <c:pt idx="49">
                  <c:v>5.9104848653078079E-2</c:v>
                </c:pt>
                <c:pt idx="50">
                  <c:v>5.9766091406345367E-2</c:v>
                </c:pt>
                <c:pt idx="51">
                  <c:v>6.4086958765983582E-2</c:v>
                </c:pt>
                <c:pt idx="52">
                  <c:v>4.5815076678991318E-2</c:v>
                </c:pt>
              </c:numCache>
            </c:numRef>
          </c:val>
          <c:smooth val="0"/>
        </c:ser>
        <c:ser>
          <c:idx val="1"/>
          <c:order val="1"/>
          <c:tx>
            <c:v>AS partial after-tax</c:v>
          </c:tx>
          <c:spPr>
            <a:ln w="25400">
              <a:solidFill>
                <a:schemeClr val="tx1"/>
              </a:solidFill>
              <a:prstDash val="solid"/>
            </a:ln>
          </c:spPr>
          <c:marker>
            <c:symbol val="none"/>
          </c:marker>
          <c:dPt>
            <c:idx val="1"/>
            <c:bubble3D val="0"/>
          </c:dPt>
          <c:dPt>
            <c:idx val="3"/>
            <c:bubble3D val="0"/>
          </c:dPt>
          <c:dPt>
            <c:idx val="5"/>
            <c:bubble3D val="0"/>
          </c:dPt>
          <c:cat>
            <c:numRef>
              <c:f>'FA1-Partial'!$A$37:$A$97</c:f>
              <c:numCache>
                <c:formatCode>General</c:formatCode>
                <c:ptCount val="61"/>
                <c:pt idx="0">
                  <c:v>1960</c:v>
                </c:pt>
                <c:pt idx="1">
                  <c:v>1961</c:v>
                </c:pt>
                <c:pt idx="2">
                  <c:v>1962</c:v>
                </c:pt>
                <c:pt idx="3">
                  <c:v>1963</c:v>
                </c:pt>
                <c:pt idx="4">
                  <c:v>1964</c:v>
                </c:pt>
                <c:pt idx="5">
                  <c:v>1965</c:v>
                </c:pt>
                <c:pt idx="6">
                  <c:v>1966</c:v>
                </c:pt>
                <c:pt idx="7">
                  <c:v>1967</c:v>
                </c:pt>
                <c:pt idx="8">
                  <c:v>1968</c:v>
                </c:pt>
                <c:pt idx="9">
                  <c:v>1969</c:v>
                </c:pt>
                <c:pt idx="10">
                  <c:v>1970</c:v>
                </c:pt>
                <c:pt idx="11">
                  <c:v>1971</c:v>
                </c:pt>
                <c:pt idx="12">
                  <c:v>1972</c:v>
                </c:pt>
                <c:pt idx="13">
                  <c:v>1973</c:v>
                </c:pt>
                <c:pt idx="14">
                  <c:v>1974</c:v>
                </c:pt>
                <c:pt idx="15">
                  <c:v>1975</c:v>
                </c:pt>
                <c:pt idx="16">
                  <c:v>1976</c:v>
                </c:pt>
                <c:pt idx="17">
                  <c:v>1977</c:v>
                </c:pt>
                <c:pt idx="18">
                  <c:v>1978</c:v>
                </c:pt>
                <c:pt idx="19">
                  <c:v>1979</c:v>
                </c:pt>
                <c:pt idx="20">
                  <c:v>1980</c:v>
                </c:pt>
                <c:pt idx="21">
                  <c:v>1981</c:v>
                </c:pt>
                <c:pt idx="22">
                  <c:v>1982</c:v>
                </c:pt>
                <c:pt idx="23">
                  <c:v>1983</c:v>
                </c:pt>
                <c:pt idx="24">
                  <c:v>1984</c:v>
                </c:pt>
                <c:pt idx="25">
                  <c:v>1985</c:v>
                </c:pt>
                <c:pt idx="26">
                  <c:v>1986</c:v>
                </c:pt>
                <c:pt idx="27">
                  <c:v>1987</c:v>
                </c:pt>
                <c:pt idx="28">
                  <c:v>1988</c:v>
                </c:pt>
                <c:pt idx="29">
                  <c:v>1989</c:v>
                </c:pt>
                <c:pt idx="30">
                  <c:v>1990</c:v>
                </c:pt>
                <c:pt idx="31">
                  <c:v>1991</c:v>
                </c:pt>
                <c:pt idx="32">
                  <c:v>1992</c:v>
                </c:pt>
                <c:pt idx="33">
                  <c:v>1993</c:v>
                </c:pt>
                <c:pt idx="34">
                  <c:v>1994</c:v>
                </c:pt>
                <c:pt idx="35">
                  <c:v>1995</c:v>
                </c:pt>
                <c:pt idx="36">
                  <c:v>1996</c:v>
                </c:pt>
                <c:pt idx="37">
                  <c:v>1997</c:v>
                </c:pt>
                <c:pt idx="38">
                  <c:v>1998</c:v>
                </c:pt>
                <c:pt idx="39">
                  <c:v>1999</c:v>
                </c:pt>
                <c:pt idx="40">
                  <c:v>2000</c:v>
                </c:pt>
                <c:pt idx="41">
                  <c:v>2001</c:v>
                </c:pt>
                <c:pt idx="42">
                  <c:v>2002</c:v>
                </c:pt>
                <c:pt idx="43">
                  <c:v>2003</c:v>
                </c:pt>
                <c:pt idx="44">
                  <c:v>2004</c:v>
                </c:pt>
                <c:pt idx="45">
                  <c:v>2005</c:v>
                </c:pt>
                <c:pt idx="46">
                  <c:v>2006</c:v>
                </c:pt>
                <c:pt idx="47">
                  <c:v>2007</c:v>
                </c:pt>
                <c:pt idx="48">
                  <c:v>2008</c:v>
                </c:pt>
                <c:pt idx="49">
                  <c:v>2009</c:v>
                </c:pt>
                <c:pt idx="50">
                  <c:v>2010</c:v>
                </c:pt>
                <c:pt idx="51">
                  <c:v>2011</c:v>
                </c:pt>
                <c:pt idx="52">
                  <c:v>2012</c:v>
                </c:pt>
                <c:pt idx="53">
                  <c:v>2013</c:v>
                </c:pt>
                <c:pt idx="54">
                  <c:v>2014</c:v>
                </c:pt>
                <c:pt idx="55">
                  <c:v>2015</c:v>
                </c:pt>
                <c:pt idx="56">
                  <c:v>2016</c:v>
                </c:pt>
                <c:pt idx="57">
                  <c:v>2017</c:v>
                </c:pt>
                <c:pt idx="58">
                  <c:v>2018</c:v>
                </c:pt>
                <c:pt idx="59">
                  <c:v>2019</c:v>
                </c:pt>
                <c:pt idx="60">
                  <c:v>2020</c:v>
                </c:pt>
              </c:numCache>
            </c:numRef>
          </c:cat>
          <c:val>
            <c:numRef>
              <c:f>'FA1-Partial'!$E$37:$E$97</c:f>
              <c:numCache>
                <c:formatCode>0.000</c:formatCode>
                <c:ptCount val="61"/>
                <c:pt idx="0">
                  <c:v>2.9530282911717654E-2</c:v>
                </c:pt>
                <c:pt idx="2">
                  <c:v>3.6769169013645492E-2</c:v>
                </c:pt>
                <c:pt idx="4">
                  <c:v>3.7954041471431929E-2</c:v>
                </c:pt>
                <c:pt idx="6">
                  <c:v>3.276782982326467E-2</c:v>
                </c:pt>
                <c:pt idx="8">
                  <c:v>4.2345418170487106E-2</c:v>
                </c:pt>
                <c:pt idx="10">
                  <c:v>3.9628523337370006E-2</c:v>
                </c:pt>
                <c:pt idx="12">
                  <c:v>4.1055764293067579E-2</c:v>
                </c:pt>
                <c:pt idx="13">
                  <c:v>3.1736992011959425E-2</c:v>
                </c:pt>
                <c:pt idx="14">
                  <c:v>2.9508839952057397E-2</c:v>
                </c:pt>
                <c:pt idx="15">
                  <c:v>3.1765617759103713E-2</c:v>
                </c:pt>
                <c:pt idx="16">
                  <c:v>3.3453678682883528E-2</c:v>
                </c:pt>
                <c:pt idx="17">
                  <c:v>3.2526968183907067E-2</c:v>
                </c:pt>
                <c:pt idx="18">
                  <c:v>2.9037775775299882E-2</c:v>
                </c:pt>
                <c:pt idx="19">
                  <c:v>3.0112427163647357E-2</c:v>
                </c:pt>
                <c:pt idx="20">
                  <c:v>3.470232436769121E-2</c:v>
                </c:pt>
                <c:pt idx="21">
                  <c:v>3.7400746043635094E-2</c:v>
                </c:pt>
                <c:pt idx="22">
                  <c:v>3.2657498540578214E-2</c:v>
                </c:pt>
                <c:pt idx="23">
                  <c:v>3.4350950291569725E-2</c:v>
                </c:pt>
                <c:pt idx="24">
                  <c:v>3.0118314893550956E-2</c:v>
                </c:pt>
                <c:pt idx="25">
                  <c:v>4.5132321036752403E-2</c:v>
                </c:pt>
                <c:pt idx="26">
                  <c:v>6.5090558891373412E-2</c:v>
                </c:pt>
                <c:pt idx="27">
                  <c:v>3.4775619047816897E-2</c:v>
                </c:pt>
                <c:pt idx="28">
                  <c:v>2.7504782591318378E-2</c:v>
                </c:pt>
                <c:pt idx="29">
                  <c:v>3.0103872284538837E-2</c:v>
                </c:pt>
                <c:pt idx="30">
                  <c:v>2.8760864004989818E-2</c:v>
                </c:pt>
                <c:pt idx="31">
                  <c:v>3.1177656235776882E-2</c:v>
                </c:pt>
                <c:pt idx="32">
                  <c:v>2.7368328613909188E-2</c:v>
                </c:pt>
                <c:pt idx="33">
                  <c:v>3.6811163760210153E-2</c:v>
                </c:pt>
                <c:pt idx="34">
                  <c:v>3.9538563337626571E-2</c:v>
                </c:pt>
                <c:pt idx="35">
                  <c:v>3.6783507830076216E-2</c:v>
                </c:pt>
                <c:pt idx="36">
                  <c:v>4.6039759807588322E-2</c:v>
                </c:pt>
                <c:pt idx="37">
                  <c:v>5.1394826692966862E-2</c:v>
                </c:pt>
                <c:pt idx="38">
                  <c:v>5.0586813024678615E-2</c:v>
                </c:pt>
                <c:pt idx="39">
                  <c:v>5.577175585500322E-2</c:v>
                </c:pt>
                <c:pt idx="40">
                  <c:v>5.5288922092040178E-2</c:v>
                </c:pt>
                <c:pt idx="41">
                  <c:v>4.9566987144800012E-2</c:v>
                </c:pt>
                <c:pt idx="42">
                  <c:v>4.59643698127086E-2</c:v>
                </c:pt>
                <c:pt idx="43">
                  <c:v>4.8275209444344026E-2</c:v>
                </c:pt>
                <c:pt idx="44">
                  <c:v>5.3588810486267187E-2</c:v>
                </c:pt>
                <c:pt idx="45">
                  <c:v>5.7655656204639097E-2</c:v>
                </c:pt>
                <c:pt idx="46">
                  <c:v>5.5266841933302412E-2</c:v>
                </c:pt>
                <c:pt idx="47">
                  <c:v>5.971372040050596E-2</c:v>
                </c:pt>
                <c:pt idx="48">
                  <c:v>4.5333259731905891E-2</c:v>
                </c:pt>
                <c:pt idx="49">
                  <c:v>4.2678398126314507E-2</c:v>
                </c:pt>
                <c:pt idx="50">
                  <c:v>4.3960002920888391E-2</c:v>
                </c:pt>
                <c:pt idx="51">
                  <c:v>4.5252428316533769E-2</c:v>
                </c:pt>
                <c:pt idx="52">
                  <c:v>5.6125546620492947E-2</c:v>
                </c:pt>
                <c:pt idx="53">
                  <c:v>5.494609484124708E-2</c:v>
                </c:pt>
                <c:pt idx="54">
                  <c:v>5.9308647179533651E-2</c:v>
                </c:pt>
                <c:pt idx="55">
                  <c:v>6.0576493680352658E-2</c:v>
                </c:pt>
              </c:numCache>
            </c:numRef>
          </c:val>
          <c:smooth val="0"/>
        </c:ser>
        <c:dLbls>
          <c:showLegendKey val="0"/>
          <c:showVal val="0"/>
          <c:showCatName val="0"/>
          <c:showSerName val="0"/>
          <c:showPercent val="0"/>
          <c:showBubbleSize val="0"/>
        </c:dLbls>
        <c:smooth val="0"/>
        <c:axId val="494393968"/>
        <c:axId val="494394360"/>
      </c:lineChart>
      <c:catAx>
        <c:axId val="494393968"/>
        <c:scaling>
          <c:orientation val="minMax"/>
        </c:scaling>
        <c:delete val="0"/>
        <c:axPos val="b"/>
        <c:majorGridlines>
          <c:spPr>
            <a:ln w="6350">
              <a:solidFill>
                <a:schemeClr val="bg1">
                  <a:lumMod val="65000"/>
                </a:schemeClr>
              </a:solidFill>
              <a:prstDash val="sysDash"/>
            </a:ln>
          </c:spPr>
        </c:majorGridlines>
        <c:numFmt formatCode="General" sourceLinked="0"/>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494394360"/>
        <c:crossesAt val="0"/>
        <c:auto val="1"/>
        <c:lblAlgn val="ctr"/>
        <c:lblOffset val="100"/>
        <c:tickLblSkip val="20"/>
        <c:tickMarkSkip val="20"/>
        <c:noMultiLvlLbl val="0"/>
      </c:catAx>
      <c:valAx>
        <c:axId val="494394360"/>
        <c:scaling>
          <c:orientation val="minMax"/>
          <c:max val="0.1"/>
          <c:min val="0"/>
        </c:scaling>
        <c:delete val="0"/>
        <c:axPos val="l"/>
        <c:majorGridlines>
          <c:spPr>
            <a:ln w="6350">
              <a:solidFill>
                <a:schemeClr val="bg1">
                  <a:lumMod val="65000"/>
                </a:schemeClr>
              </a:solidFill>
              <a:prstDash val="sysDash"/>
            </a:ln>
          </c:spPr>
        </c:majorGridlines>
        <c:numFmt formatCode="0.0%" sourceLinked="0"/>
        <c:majorTickMark val="out"/>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Arial"/>
                <a:ea typeface="Arial"/>
                <a:cs typeface="Arial"/>
              </a:defRPr>
            </a:pPr>
            <a:endParaRPr lang="en-US"/>
          </a:p>
        </c:txPr>
        <c:crossAx val="494393968"/>
        <c:crosses val="autoZero"/>
        <c:crossBetween val="midCat"/>
        <c:majorUnit val="2.5000000000000005E-2"/>
      </c:valAx>
      <c:spPr>
        <a:solidFill>
          <a:srgbClr val="FFFFFF"/>
        </a:solidFill>
        <a:ln w="3175">
          <a:noFill/>
          <a:prstDash val="solid"/>
        </a:ln>
      </c:spPr>
    </c:plotArea>
    <c:plotVisOnly val="1"/>
    <c:dispBlanksAs val="span"/>
    <c:showDLblsOverMax val="0"/>
  </c:chart>
  <c:spPr>
    <a:solidFill>
      <a:schemeClr val="bg1"/>
    </a:solidFill>
    <a:ln w="9525">
      <a:noFill/>
    </a:ln>
  </c:spPr>
  <c:txPr>
    <a:bodyPr/>
    <a:lstStyle/>
    <a:p>
      <a:pPr>
        <a:defRPr sz="900" b="0" i="0" u="none" strike="noStrike" baseline="0">
          <a:solidFill>
            <a:srgbClr val="000000"/>
          </a:solidFill>
          <a:latin typeface="Arial"/>
          <a:ea typeface="Arial"/>
          <a:cs typeface="Arial"/>
        </a:defRPr>
      </a:pPr>
      <a:endParaRPr lang="en-US"/>
    </a:p>
  </c:txPr>
  <c:printSettings>
    <c:headerFooter alignWithMargins="0"/>
    <c:pageMargins b="1" l="0.75000000000000866" r="0.75000000000000866" t="1" header="0.5" footer="0.5"/>
    <c:pageSetup orientation="landscape" verticalDpi="96"/>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4.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209550</xdr:colOff>
      <xdr:row>1</xdr:row>
      <xdr:rowOff>57150</xdr:rowOff>
    </xdr:from>
    <xdr:to>
      <xdr:col>9</xdr:col>
      <xdr:colOff>123825</xdr:colOff>
      <xdr:row>24</xdr:row>
      <xdr:rowOff>133350</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247650</xdr:colOff>
      <xdr:row>1</xdr:row>
      <xdr:rowOff>9525</xdr:rowOff>
    </xdr:from>
    <xdr:to>
      <xdr:col>18</xdr:col>
      <xdr:colOff>161925</xdr:colOff>
      <xdr:row>24</xdr:row>
      <xdr:rowOff>85725</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295275</xdr:colOff>
      <xdr:row>3</xdr:row>
      <xdr:rowOff>104775</xdr:rowOff>
    </xdr:from>
    <xdr:to>
      <xdr:col>9</xdr:col>
      <xdr:colOff>209550</xdr:colOff>
      <xdr:row>26</xdr:row>
      <xdr:rowOff>180975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552450</xdr:colOff>
      <xdr:row>3</xdr:row>
      <xdr:rowOff>57150</xdr:rowOff>
    </xdr:from>
    <xdr:to>
      <xdr:col>18</xdr:col>
      <xdr:colOff>466725</xdr:colOff>
      <xdr:row>26</xdr:row>
      <xdr:rowOff>133350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c:userShapes xmlns:c="http://schemas.openxmlformats.org/drawingml/2006/chart">
  <cdr:relSizeAnchor xmlns:cdr="http://schemas.openxmlformats.org/drawingml/2006/chartDrawing">
    <cdr:from>
      <cdr:x>0.14126</cdr:x>
      <cdr:y>0.79558</cdr:y>
    </cdr:from>
    <cdr:to>
      <cdr:x>0.62434</cdr:x>
      <cdr:y>0.86324</cdr:y>
    </cdr:to>
    <cdr:sp macro="" textlink="">
      <cdr:nvSpPr>
        <cdr:cNvPr id="2" name="TextBox 1"/>
        <cdr:cNvSpPr txBox="1"/>
      </cdr:nvSpPr>
      <cdr:spPr>
        <a:xfrm xmlns:a="http://schemas.openxmlformats.org/drawingml/2006/main">
          <a:off x="762885" y="3546447"/>
          <a:ext cx="2608958" cy="30160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600" b="1">
              <a:latin typeface="Arial" panose="020B0604020202020204" pitchFamily="34" charset="0"/>
              <a:cs typeface="Arial" panose="020B0604020202020204" pitchFamily="34" charset="0"/>
            </a:rPr>
            <a:t>Partial after-tax</a:t>
          </a:r>
          <a:r>
            <a:rPr lang="en-US" sz="1600" b="1" baseline="0">
              <a:latin typeface="Arial" panose="020B0604020202020204" pitchFamily="34" charset="0"/>
              <a:cs typeface="Arial" panose="020B0604020202020204" pitchFamily="34" charset="0"/>
            </a:rPr>
            <a:t> income</a:t>
          </a:r>
          <a:endParaRPr lang="en-US" sz="16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0.25494</cdr:x>
      <cdr:y>0.19516</cdr:y>
    </cdr:from>
    <cdr:to>
      <cdr:x>0.61199</cdr:x>
      <cdr:y>0.29274</cdr:y>
    </cdr:to>
    <cdr:sp macro="" textlink="">
      <cdr:nvSpPr>
        <cdr:cNvPr id="7" name="TextBox 1"/>
        <cdr:cNvSpPr txBox="1"/>
      </cdr:nvSpPr>
      <cdr:spPr>
        <a:xfrm xmlns:a="http://schemas.openxmlformats.org/drawingml/2006/main">
          <a:off x="1376869" y="869972"/>
          <a:ext cx="1928306" cy="43495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400"/>
            </a:lnSpc>
          </a:pPr>
          <a:r>
            <a:rPr lang="en-US" sz="1600" b="1">
              <a:solidFill>
                <a:schemeClr val="bg1">
                  <a:lumMod val="50000"/>
                </a:schemeClr>
              </a:solidFill>
              <a:latin typeface="Arial" panose="020B0604020202020204" pitchFamily="34" charset="0"/>
              <a:cs typeface="Arial" panose="020B0604020202020204" pitchFamily="34" charset="0"/>
            </a:rPr>
            <a:t>Fiscal</a:t>
          </a:r>
          <a:r>
            <a:rPr lang="en-US" sz="1600" b="1" baseline="0">
              <a:solidFill>
                <a:schemeClr val="bg1">
                  <a:lumMod val="50000"/>
                </a:schemeClr>
              </a:solidFill>
              <a:latin typeface="Arial" panose="020B0604020202020204" pitchFamily="34" charset="0"/>
              <a:cs typeface="Arial" panose="020B0604020202020204" pitchFamily="34" charset="0"/>
            </a:rPr>
            <a:t> Income (Duquette)</a:t>
          </a:r>
          <a:endParaRPr lang="en-US" sz="1400" b="1">
            <a:solidFill>
              <a:schemeClr val="bg1">
                <a:lumMod val="50000"/>
              </a:schemeClr>
            </a:solidFill>
            <a:latin typeface="Arial" panose="020B0604020202020204" pitchFamily="34" charset="0"/>
            <a:cs typeface="Arial" panose="020B0604020202020204" pitchFamily="34" charset="0"/>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0.15184</cdr:x>
      <cdr:y>0.71438</cdr:y>
    </cdr:from>
    <cdr:to>
      <cdr:x>0.63492</cdr:x>
      <cdr:y>0.78204</cdr:y>
    </cdr:to>
    <cdr:sp macro="" textlink="">
      <cdr:nvSpPr>
        <cdr:cNvPr id="2" name="TextBox 1"/>
        <cdr:cNvSpPr txBox="1"/>
      </cdr:nvSpPr>
      <cdr:spPr>
        <a:xfrm xmlns:a="http://schemas.openxmlformats.org/drawingml/2006/main">
          <a:off x="820019" y="3184504"/>
          <a:ext cx="2608958" cy="30160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600" b="1">
              <a:latin typeface="Arial" panose="020B0604020202020204" pitchFamily="34" charset="0"/>
              <a:cs typeface="Arial" panose="020B0604020202020204" pitchFamily="34" charset="0"/>
            </a:rPr>
            <a:t>Partial after-tax</a:t>
          </a:r>
          <a:r>
            <a:rPr lang="en-US" sz="1600" b="1" baseline="0">
              <a:latin typeface="Arial" panose="020B0604020202020204" pitchFamily="34" charset="0"/>
              <a:cs typeface="Arial" panose="020B0604020202020204" pitchFamily="34" charset="0"/>
            </a:rPr>
            <a:t> income</a:t>
          </a:r>
          <a:endParaRPr lang="en-US" sz="16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0.25847</cdr:x>
      <cdr:y>0.11824</cdr:y>
    </cdr:from>
    <cdr:to>
      <cdr:x>0.61552</cdr:x>
      <cdr:y>0.21582</cdr:y>
    </cdr:to>
    <cdr:sp macro="" textlink="">
      <cdr:nvSpPr>
        <cdr:cNvPr id="7" name="TextBox 1"/>
        <cdr:cNvSpPr txBox="1"/>
      </cdr:nvSpPr>
      <cdr:spPr>
        <a:xfrm xmlns:a="http://schemas.openxmlformats.org/drawingml/2006/main">
          <a:off x="1395898" y="527062"/>
          <a:ext cx="1928311" cy="43498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400"/>
            </a:lnSpc>
          </a:pPr>
          <a:r>
            <a:rPr lang="en-US" sz="1600" b="1">
              <a:solidFill>
                <a:schemeClr val="bg1">
                  <a:lumMod val="50000"/>
                </a:schemeClr>
              </a:solidFill>
              <a:latin typeface="Arial" panose="020B0604020202020204" pitchFamily="34" charset="0"/>
              <a:cs typeface="Arial" panose="020B0604020202020204" pitchFamily="34" charset="0"/>
            </a:rPr>
            <a:t>Fiscal</a:t>
          </a:r>
          <a:r>
            <a:rPr lang="en-US" sz="1600" b="1" baseline="0">
              <a:solidFill>
                <a:schemeClr val="bg1">
                  <a:lumMod val="50000"/>
                </a:schemeClr>
              </a:solidFill>
              <a:latin typeface="Arial" panose="020B0604020202020204" pitchFamily="34" charset="0"/>
              <a:cs typeface="Arial" panose="020B0604020202020204" pitchFamily="34" charset="0"/>
            </a:rPr>
            <a:t> Income (Duquette)</a:t>
          </a:r>
          <a:endParaRPr lang="en-US" sz="1400" b="1">
            <a:solidFill>
              <a:schemeClr val="bg1">
                <a:lumMod val="50000"/>
              </a:schemeClr>
            </a:solidFill>
            <a:latin typeface="Arial" panose="020B0604020202020204" pitchFamily="34" charset="0"/>
            <a:cs typeface="Arial" panose="020B0604020202020204" pitchFamily="34" charset="0"/>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0.31763</cdr:x>
      <cdr:y>0.84259</cdr:y>
    </cdr:from>
    <cdr:to>
      <cdr:x>0.86596</cdr:x>
      <cdr:y>0.91453</cdr:y>
    </cdr:to>
    <cdr:sp macro="" textlink="">
      <cdr:nvSpPr>
        <cdr:cNvPr id="2" name="TextBox 1"/>
        <cdr:cNvSpPr txBox="1"/>
      </cdr:nvSpPr>
      <cdr:spPr>
        <a:xfrm xmlns:a="http://schemas.openxmlformats.org/drawingml/2006/main">
          <a:off x="1715404" y="3756000"/>
          <a:ext cx="2961352" cy="320687"/>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600" b="1">
              <a:latin typeface="Arial" panose="020B0604020202020204" pitchFamily="34" charset="0"/>
              <a:cs typeface="Arial" panose="020B0604020202020204" pitchFamily="34" charset="0"/>
            </a:rPr>
            <a:t>PSZ </a:t>
          </a:r>
          <a:r>
            <a:rPr lang="en-US" sz="1600" b="1" baseline="0">
              <a:latin typeface="Arial" panose="020B0604020202020204" pitchFamily="34" charset="0"/>
              <a:cs typeface="Arial" panose="020B0604020202020204" pitchFamily="34" charset="0"/>
            </a:rPr>
            <a:t>national income</a:t>
          </a:r>
          <a:endParaRPr lang="en-US" sz="16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0.14206</cdr:x>
      <cdr:y>0.15456</cdr:y>
    </cdr:from>
    <cdr:to>
      <cdr:x>0.49911</cdr:x>
      <cdr:y>0.25214</cdr:y>
    </cdr:to>
    <cdr:sp macro="" textlink="">
      <cdr:nvSpPr>
        <cdr:cNvPr id="7" name="TextBox 1"/>
        <cdr:cNvSpPr txBox="1"/>
      </cdr:nvSpPr>
      <cdr:spPr>
        <a:xfrm xmlns:a="http://schemas.openxmlformats.org/drawingml/2006/main">
          <a:off x="767227" y="688981"/>
          <a:ext cx="1928311" cy="43498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400"/>
            </a:lnSpc>
          </a:pPr>
          <a:r>
            <a:rPr lang="en-US" sz="1600" b="1">
              <a:solidFill>
                <a:schemeClr val="bg1">
                  <a:lumMod val="50000"/>
                </a:schemeClr>
              </a:solidFill>
              <a:latin typeface="Arial" panose="020B0604020202020204" pitchFamily="34" charset="0"/>
              <a:cs typeface="Arial" panose="020B0604020202020204" pitchFamily="34" charset="0"/>
            </a:rPr>
            <a:t>Fiscal</a:t>
          </a:r>
          <a:r>
            <a:rPr lang="en-US" sz="1600" b="1" baseline="0">
              <a:solidFill>
                <a:schemeClr val="bg1">
                  <a:lumMod val="50000"/>
                </a:schemeClr>
              </a:solidFill>
              <a:latin typeface="Arial" panose="020B0604020202020204" pitchFamily="34" charset="0"/>
              <a:cs typeface="Arial" panose="020B0604020202020204" pitchFamily="34" charset="0"/>
            </a:rPr>
            <a:t> Income (Duquette)</a:t>
          </a:r>
          <a:endParaRPr lang="en-US" sz="1400" b="1">
            <a:solidFill>
              <a:schemeClr val="bg1">
                <a:lumMod val="50000"/>
              </a:schemeClr>
            </a:solidFill>
            <a:latin typeface="Arial" panose="020B0604020202020204" pitchFamily="34" charset="0"/>
            <a:cs typeface="Arial" panose="020B0604020202020204" pitchFamily="34" charset="0"/>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0.36172</cdr:x>
      <cdr:y>0.78916</cdr:y>
    </cdr:from>
    <cdr:to>
      <cdr:x>0.83069</cdr:x>
      <cdr:y>0.87179</cdr:y>
    </cdr:to>
    <cdr:sp macro="" textlink="">
      <cdr:nvSpPr>
        <cdr:cNvPr id="2" name="TextBox 1"/>
        <cdr:cNvSpPr txBox="1"/>
      </cdr:nvSpPr>
      <cdr:spPr>
        <a:xfrm xmlns:a="http://schemas.openxmlformats.org/drawingml/2006/main">
          <a:off x="1953547" y="3517826"/>
          <a:ext cx="2532754" cy="36834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600" b="1">
              <a:latin typeface="Arial" panose="020B0604020202020204" pitchFamily="34" charset="0"/>
              <a:cs typeface="Arial" panose="020B0604020202020204" pitchFamily="34" charset="0"/>
            </a:rPr>
            <a:t>PSZ </a:t>
          </a:r>
          <a:r>
            <a:rPr lang="en-US" sz="1600" b="1" baseline="0">
              <a:latin typeface="Arial" panose="020B0604020202020204" pitchFamily="34" charset="0"/>
              <a:cs typeface="Arial" panose="020B0604020202020204" pitchFamily="34" charset="0"/>
            </a:rPr>
            <a:t>national income</a:t>
          </a:r>
          <a:endParaRPr lang="en-US" sz="16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0.14559</cdr:x>
      <cdr:y>0.11824</cdr:y>
    </cdr:from>
    <cdr:to>
      <cdr:x>0.50264</cdr:x>
      <cdr:y>0.21582</cdr:y>
    </cdr:to>
    <cdr:sp macro="" textlink="">
      <cdr:nvSpPr>
        <cdr:cNvPr id="7" name="TextBox 1"/>
        <cdr:cNvSpPr txBox="1"/>
      </cdr:nvSpPr>
      <cdr:spPr>
        <a:xfrm xmlns:a="http://schemas.openxmlformats.org/drawingml/2006/main">
          <a:off x="786306" y="527094"/>
          <a:ext cx="1928311" cy="43498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400"/>
            </a:lnSpc>
          </a:pPr>
          <a:r>
            <a:rPr lang="en-US" sz="1600" b="1">
              <a:solidFill>
                <a:schemeClr val="bg1">
                  <a:lumMod val="50000"/>
                </a:schemeClr>
              </a:solidFill>
              <a:latin typeface="Arial" panose="020B0604020202020204" pitchFamily="34" charset="0"/>
              <a:cs typeface="Arial" panose="020B0604020202020204" pitchFamily="34" charset="0"/>
            </a:rPr>
            <a:t>Fiscal</a:t>
          </a:r>
          <a:r>
            <a:rPr lang="en-US" sz="1600" b="1" baseline="0">
              <a:solidFill>
                <a:schemeClr val="bg1">
                  <a:lumMod val="50000"/>
                </a:schemeClr>
              </a:solidFill>
              <a:latin typeface="Arial" panose="020B0604020202020204" pitchFamily="34" charset="0"/>
              <a:cs typeface="Arial" panose="020B0604020202020204" pitchFamily="34" charset="0"/>
            </a:rPr>
            <a:t> Income (Duquette)</a:t>
          </a:r>
          <a:endParaRPr lang="en-US" sz="1400" b="1">
            <a:solidFill>
              <a:schemeClr val="bg1">
                <a:lumMod val="50000"/>
              </a:schemeClr>
            </a:solidFill>
            <a:latin typeface="Arial" panose="020B0604020202020204" pitchFamily="34" charset="0"/>
            <a:cs typeface="Arial" panose="020B0604020202020204" pitchFamily="34" charset="0"/>
          </a:endParaRPr>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371475</xdr:colOff>
      <xdr:row>3</xdr:row>
      <xdr:rowOff>0</xdr:rowOff>
    </xdr:from>
    <xdr:to>
      <xdr:col>9</xdr:col>
      <xdr:colOff>133350</xdr:colOff>
      <xdr:row>26</xdr:row>
      <xdr:rowOff>76200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342900</xdr:colOff>
      <xdr:row>3</xdr:row>
      <xdr:rowOff>47625</xdr:rowOff>
    </xdr:from>
    <xdr:to>
      <xdr:col>18</xdr:col>
      <xdr:colOff>257175</xdr:colOff>
      <xdr:row>26</xdr:row>
      <xdr:rowOff>123825</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0.13597</cdr:x>
      <cdr:y>0.79131</cdr:y>
    </cdr:from>
    <cdr:to>
      <cdr:x>0.61905</cdr:x>
      <cdr:y>0.85897</cdr:y>
    </cdr:to>
    <cdr:sp macro="" textlink="">
      <cdr:nvSpPr>
        <cdr:cNvPr id="2" name="TextBox 1"/>
        <cdr:cNvSpPr txBox="1"/>
      </cdr:nvSpPr>
      <cdr:spPr>
        <a:xfrm xmlns:a="http://schemas.openxmlformats.org/drawingml/2006/main">
          <a:off x="734324" y="3527407"/>
          <a:ext cx="2608958" cy="30160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600" b="1">
              <a:latin typeface="Arial" panose="020B0604020202020204" pitchFamily="34" charset="0"/>
              <a:cs typeface="Arial" panose="020B0604020202020204" pitchFamily="34" charset="0"/>
            </a:rPr>
            <a:t>AS</a:t>
          </a:r>
          <a:r>
            <a:rPr lang="en-US" sz="1600" b="1" baseline="0">
              <a:latin typeface="Arial" panose="020B0604020202020204" pitchFamily="34" charset="0"/>
              <a:cs typeface="Arial" panose="020B0604020202020204" pitchFamily="34" charset="0"/>
            </a:rPr>
            <a:t> national income</a:t>
          </a:r>
          <a:endParaRPr lang="en-US" sz="16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0.24788</cdr:x>
      <cdr:y>0.17379</cdr:y>
    </cdr:from>
    <cdr:to>
      <cdr:x>0.60493</cdr:x>
      <cdr:y>0.27137</cdr:y>
    </cdr:to>
    <cdr:sp macro="" textlink="">
      <cdr:nvSpPr>
        <cdr:cNvPr id="7" name="TextBox 1"/>
        <cdr:cNvSpPr txBox="1"/>
      </cdr:nvSpPr>
      <cdr:spPr>
        <a:xfrm xmlns:a="http://schemas.openxmlformats.org/drawingml/2006/main">
          <a:off x="1338728" y="774724"/>
          <a:ext cx="1928311" cy="43498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400"/>
            </a:lnSpc>
          </a:pPr>
          <a:r>
            <a:rPr lang="en-US" sz="1600" b="1">
              <a:solidFill>
                <a:schemeClr val="bg1">
                  <a:lumMod val="50000"/>
                </a:schemeClr>
              </a:solidFill>
              <a:latin typeface="Arial" panose="020B0604020202020204" pitchFamily="34" charset="0"/>
              <a:cs typeface="Arial" panose="020B0604020202020204" pitchFamily="34" charset="0"/>
            </a:rPr>
            <a:t>Fiscal</a:t>
          </a:r>
          <a:r>
            <a:rPr lang="en-US" sz="1600" b="1" baseline="0">
              <a:solidFill>
                <a:schemeClr val="bg1">
                  <a:lumMod val="50000"/>
                </a:schemeClr>
              </a:solidFill>
              <a:latin typeface="Arial" panose="020B0604020202020204" pitchFamily="34" charset="0"/>
              <a:cs typeface="Arial" panose="020B0604020202020204" pitchFamily="34" charset="0"/>
            </a:rPr>
            <a:t> Income (Duquette)</a:t>
          </a:r>
          <a:endParaRPr lang="en-US" sz="1400" b="1">
            <a:solidFill>
              <a:schemeClr val="bg1">
                <a:lumMod val="50000"/>
              </a:schemeClr>
            </a:solidFill>
            <a:latin typeface="Arial" panose="020B0604020202020204" pitchFamily="34" charset="0"/>
            <a:cs typeface="Arial" panose="020B0604020202020204" pitchFamily="34" charset="0"/>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0.15184</cdr:x>
      <cdr:y>0.71438</cdr:y>
    </cdr:from>
    <cdr:to>
      <cdr:x>0.63492</cdr:x>
      <cdr:y>0.78204</cdr:y>
    </cdr:to>
    <cdr:sp macro="" textlink="">
      <cdr:nvSpPr>
        <cdr:cNvPr id="2" name="TextBox 1"/>
        <cdr:cNvSpPr txBox="1"/>
      </cdr:nvSpPr>
      <cdr:spPr>
        <a:xfrm xmlns:a="http://schemas.openxmlformats.org/drawingml/2006/main">
          <a:off x="820019" y="3184504"/>
          <a:ext cx="2608958" cy="30160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600" b="1">
              <a:latin typeface="Arial" panose="020B0604020202020204" pitchFamily="34" charset="0"/>
              <a:cs typeface="Arial" panose="020B0604020202020204" pitchFamily="34" charset="0"/>
            </a:rPr>
            <a:t>AS</a:t>
          </a:r>
          <a:r>
            <a:rPr lang="en-US" sz="1600" b="1" baseline="0">
              <a:latin typeface="Arial" panose="020B0604020202020204" pitchFamily="34" charset="0"/>
              <a:cs typeface="Arial" panose="020B0604020202020204" pitchFamily="34" charset="0"/>
            </a:rPr>
            <a:t> national income</a:t>
          </a:r>
          <a:endParaRPr lang="en-US" sz="1600" b="1">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0.25847</cdr:x>
      <cdr:y>0.11824</cdr:y>
    </cdr:from>
    <cdr:to>
      <cdr:x>0.61552</cdr:x>
      <cdr:y>0.21582</cdr:y>
    </cdr:to>
    <cdr:sp macro="" textlink="">
      <cdr:nvSpPr>
        <cdr:cNvPr id="7" name="TextBox 1"/>
        <cdr:cNvSpPr txBox="1"/>
      </cdr:nvSpPr>
      <cdr:spPr>
        <a:xfrm xmlns:a="http://schemas.openxmlformats.org/drawingml/2006/main">
          <a:off x="1395898" y="527062"/>
          <a:ext cx="1928311" cy="43498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400"/>
            </a:lnSpc>
          </a:pPr>
          <a:r>
            <a:rPr lang="en-US" sz="1600" b="1">
              <a:solidFill>
                <a:schemeClr val="bg1">
                  <a:lumMod val="50000"/>
                </a:schemeClr>
              </a:solidFill>
              <a:latin typeface="Arial" panose="020B0604020202020204" pitchFamily="34" charset="0"/>
              <a:cs typeface="Arial" panose="020B0604020202020204" pitchFamily="34" charset="0"/>
            </a:rPr>
            <a:t>Fiscal</a:t>
          </a:r>
          <a:r>
            <a:rPr lang="en-US" sz="1600" b="1" baseline="0">
              <a:solidFill>
                <a:schemeClr val="bg1">
                  <a:lumMod val="50000"/>
                </a:schemeClr>
              </a:solidFill>
              <a:latin typeface="Arial" panose="020B0604020202020204" pitchFamily="34" charset="0"/>
              <a:cs typeface="Arial" panose="020B0604020202020204" pitchFamily="34" charset="0"/>
            </a:rPr>
            <a:t> Income (Duquette)</a:t>
          </a:r>
          <a:endParaRPr lang="en-US" sz="1400" b="1">
            <a:solidFill>
              <a:schemeClr val="bg1">
                <a:lumMod val="50000"/>
              </a:schemeClr>
            </a:solidFill>
            <a:latin typeface="Arial" panose="020B0604020202020204" pitchFamily="34" charset="0"/>
            <a:cs typeface="Arial" panose="020B0604020202020204" pitchFamily="34" charset="0"/>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0</xdr:col>
      <xdr:colOff>295275</xdr:colOff>
      <xdr:row>2</xdr:row>
      <xdr:rowOff>85725</xdr:rowOff>
    </xdr:from>
    <xdr:to>
      <xdr:col>9</xdr:col>
      <xdr:colOff>590550</xdr:colOff>
      <xdr:row>25</xdr:row>
      <xdr:rowOff>161925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238125</xdr:colOff>
      <xdr:row>2</xdr:row>
      <xdr:rowOff>38100</xdr:rowOff>
    </xdr:from>
    <xdr:to>
      <xdr:col>21</xdr:col>
      <xdr:colOff>76200</xdr:colOff>
      <xdr:row>25</xdr:row>
      <xdr:rowOff>114300</xdr:rowOff>
    </xdr:to>
    <xdr:graphicFrame macro="">
      <xdr:nvGraphicFramePr>
        <xdr:cNvPr id="6"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0.68046</cdr:x>
      <cdr:y>0.75925</cdr:y>
    </cdr:from>
    <cdr:to>
      <cdr:x>0.9309</cdr:x>
      <cdr:y>0.8782</cdr:y>
    </cdr:to>
    <cdr:sp macro="" textlink="">
      <cdr:nvSpPr>
        <cdr:cNvPr id="2" name="TextBox 1"/>
        <cdr:cNvSpPr txBox="1"/>
      </cdr:nvSpPr>
      <cdr:spPr>
        <a:xfrm xmlns:a="http://schemas.openxmlformats.org/drawingml/2006/main">
          <a:off x="4148069" y="3384531"/>
          <a:ext cx="1526682" cy="53024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600" b="1">
              <a:solidFill>
                <a:sysClr val="windowText" lastClr="000000"/>
              </a:solidFill>
              <a:latin typeface="Arial" panose="020B0604020202020204" pitchFamily="34" charset="0"/>
              <a:cs typeface="Arial" panose="020B0604020202020204" pitchFamily="34" charset="0"/>
            </a:rPr>
            <a:t>Top 0.01% </a:t>
          </a:r>
          <a:r>
            <a:rPr lang="en-US" sz="1300" b="1">
              <a:solidFill>
                <a:sysClr val="windowText" lastClr="000000"/>
              </a:solidFill>
              <a:latin typeface="Arial" panose="020B0604020202020204" pitchFamily="34" charset="0"/>
              <a:cs typeface="Arial" panose="020B0604020202020204" pitchFamily="34" charset="0"/>
            </a:rPr>
            <a:t>(left</a:t>
          </a:r>
          <a:r>
            <a:rPr lang="en-US" sz="1300" b="1" baseline="0">
              <a:solidFill>
                <a:sysClr val="windowText" lastClr="000000"/>
              </a:solidFill>
              <a:latin typeface="Arial" panose="020B0604020202020204" pitchFamily="34" charset="0"/>
              <a:cs typeface="Arial" panose="020B0604020202020204" pitchFamily="34" charset="0"/>
            </a:rPr>
            <a:t> axis)</a:t>
          </a:r>
          <a:endParaRPr lang="en-US" sz="1300" b="1">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0.57656</cdr:x>
      <cdr:y>0.18803</cdr:y>
    </cdr:from>
    <cdr:to>
      <cdr:x>0.81658</cdr:x>
      <cdr:y>0.30556</cdr:y>
    </cdr:to>
    <cdr:sp macro="" textlink="">
      <cdr:nvSpPr>
        <cdr:cNvPr id="4" name="TextBox 1"/>
        <cdr:cNvSpPr txBox="1"/>
      </cdr:nvSpPr>
      <cdr:spPr>
        <a:xfrm xmlns:a="http://schemas.openxmlformats.org/drawingml/2006/main">
          <a:off x="3514740" y="838200"/>
          <a:ext cx="1463162" cy="52387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600"/>
            </a:lnSpc>
          </a:pPr>
          <a:r>
            <a:rPr lang="en-US" sz="1600" b="1">
              <a:solidFill>
                <a:schemeClr val="bg1">
                  <a:lumMod val="50000"/>
                </a:schemeClr>
              </a:solidFill>
              <a:latin typeface="Arial" panose="020B0604020202020204" pitchFamily="34" charset="0"/>
              <a:cs typeface="Arial" panose="020B0604020202020204" pitchFamily="34" charset="0"/>
            </a:rPr>
            <a:t>S&amp;P 500 </a:t>
          </a:r>
          <a:r>
            <a:rPr lang="en-US" sz="1300" b="1">
              <a:solidFill>
                <a:schemeClr val="bg1">
                  <a:lumMod val="50000"/>
                </a:schemeClr>
              </a:solidFill>
              <a:latin typeface="Arial" panose="020B0604020202020204" pitchFamily="34" charset="0"/>
              <a:cs typeface="Arial" panose="020B0604020202020204" pitchFamily="34" charset="0"/>
            </a:rPr>
            <a:t>(right axis)</a:t>
          </a:r>
        </a:p>
      </cdr:txBody>
    </cdr:sp>
  </cdr:relSizeAnchor>
</c:userShapes>
</file>

<file path=xl/drawings/drawing9.xml><?xml version="1.0" encoding="utf-8"?>
<c:userShapes xmlns:c="http://schemas.openxmlformats.org/drawingml/2006/chart">
  <cdr:relSizeAnchor xmlns:cdr="http://schemas.openxmlformats.org/drawingml/2006/chartDrawing">
    <cdr:from>
      <cdr:x>0.79476</cdr:x>
      <cdr:y>0.11823</cdr:y>
    </cdr:from>
    <cdr:to>
      <cdr:x>0.97962</cdr:x>
      <cdr:y>0.18589</cdr:y>
    </cdr:to>
    <cdr:sp macro="" textlink="">
      <cdr:nvSpPr>
        <cdr:cNvPr id="2" name="TextBox 1"/>
        <cdr:cNvSpPr txBox="1"/>
      </cdr:nvSpPr>
      <cdr:spPr>
        <a:xfrm xmlns:a="http://schemas.openxmlformats.org/drawingml/2006/main">
          <a:off x="5200661" y="527038"/>
          <a:ext cx="1209664" cy="30160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600" b="1">
              <a:solidFill>
                <a:sysClr val="windowText" lastClr="000000"/>
              </a:solidFill>
              <a:latin typeface="Arial" panose="020B0604020202020204" pitchFamily="34" charset="0"/>
              <a:cs typeface="Arial" panose="020B0604020202020204" pitchFamily="34" charset="0"/>
            </a:rPr>
            <a:t>Top 0.01%</a:t>
          </a:r>
        </a:p>
      </cdr:txBody>
    </cdr:sp>
  </cdr:relSizeAnchor>
  <cdr:relSizeAnchor xmlns:cdr="http://schemas.openxmlformats.org/drawingml/2006/chartDrawing">
    <cdr:from>
      <cdr:x>0.78166</cdr:x>
      <cdr:y>0.51354</cdr:y>
    </cdr:from>
    <cdr:to>
      <cdr:x>1</cdr:x>
      <cdr:y>0.57906</cdr:y>
    </cdr:to>
    <cdr:sp macro="" textlink="">
      <cdr:nvSpPr>
        <cdr:cNvPr id="7" name="TextBox 1"/>
        <cdr:cNvSpPr txBox="1"/>
      </cdr:nvSpPr>
      <cdr:spPr>
        <a:xfrm xmlns:a="http://schemas.openxmlformats.org/drawingml/2006/main">
          <a:off x="5114925" y="2289204"/>
          <a:ext cx="1428750" cy="29206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400"/>
            </a:lnSpc>
          </a:pPr>
          <a:r>
            <a:rPr lang="en-US" sz="1600" b="1">
              <a:solidFill>
                <a:sysClr val="windowText" lastClr="000000"/>
              </a:solidFill>
              <a:latin typeface="Arial" panose="020B0604020202020204" pitchFamily="34" charset="0"/>
              <a:cs typeface="Arial" panose="020B0604020202020204" pitchFamily="34" charset="0"/>
            </a:rPr>
            <a:t>Top 0.1%</a:t>
          </a:r>
        </a:p>
        <a:p xmlns:a="http://schemas.openxmlformats.org/drawingml/2006/main">
          <a:pPr algn="ctr">
            <a:lnSpc>
              <a:spcPts val="1400"/>
            </a:lnSpc>
          </a:pPr>
          <a:r>
            <a:rPr lang="en-US" sz="1200" b="1">
              <a:solidFill>
                <a:sysClr val="windowText" lastClr="000000"/>
              </a:solidFill>
              <a:latin typeface="Arial" panose="020B0604020202020204" pitchFamily="34" charset="0"/>
              <a:cs typeface="Arial" panose="020B0604020202020204" pitchFamily="34" charset="0"/>
            </a:rPr>
            <a:t>(excl. top 0.01%)</a:t>
          </a:r>
          <a:endParaRPr lang="en-US" sz="1100" b="1">
            <a:solidFill>
              <a:sysClr val="windowText" lastClr="000000"/>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0.47446</cdr:x>
      <cdr:y>0.07551</cdr:y>
    </cdr:from>
    <cdr:to>
      <cdr:x>0.7249</cdr:x>
      <cdr:y>0.19231</cdr:y>
    </cdr:to>
    <cdr:sp macro="" textlink="">
      <cdr:nvSpPr>
        <cdr:cNvPr id="4" name="TextBox 1"/>
        <cdr:cNvSpPr txBox="1"/>
      </cdr:nvSpPr>
      <cdr:spPr>
        <a:xfrm xmlns:a="http://schemas.openxmlformats.org/drawingml/2006/main">
          <a:off x="3104713" y="336585"/>
          <a:ext cx="1638798" cy="52065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lnSpc>
              <a:spcPts val="1400"/>
            </a:lnSpc>
          </a:pPr>
          <a:r>
            <a:rPr lang="en-US" sz="1500" b="1">
              <a:solidFill>
                <a:sysClr val="windowText" lastClr="000000"/>
              </a:solidFill>
              <a:latin typeface="Arial" panose="020B0604020202020204" pitchFamily="34" charset="0"/>
              <a:cs typeface="Arial" panose="020B0604020202020204" pitchFamily="34" charset="0"/>
            </a:rPr>
            <a:t>Confidential data</a:t>
          </a:r>
        </a:p>
      </cdr:txBody>
    </cdr:sp>
  </cdr:relSizeAnchor>
  <cdr:relSizeAnchor xmlns:cdr="http://schemas.openxmlformats.org/drawingml/2006/chartDrawing">
    <cdr:from>
      <cdr:x>0.65764</cdr:x>
      <cdr:y>0.29131</cdr:y>
    </cdr:from>
    <cdr:to>
      <cdr:x>0.87482</cdr:x>
      <cdr:y>0.35897</cdr:y>
    </cdr:to>
    <cdr:sp macro="" textlink="">
      <cdr:nvSpPr>
        <cdr:cNvPr id="5" name="TextBox 1"/>
        <cdr:cNvSpPr txBox="1"/>
      </cdr:nvSpPr>
      <cdr:spPr>
        <a:xfrm xmlns:a="http://schemas.openxmlformats.org/drawingml/2006/main">
          <a:off x="4303351" y="1298589"/>
          <a:ext cx="1421155" cy="30160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en-US" sz="1500" b="1">
              <a:solidFill>
                <a:schemeClr val="tx1">
                  <a:lumMod val="50000"/>
                  <a:lumOff val="50000"/>
                </a:schemeClr>
              </a:solidFill>
              <a:latin typeface="Arial" panose="020B0604020202020204" pitchFamily="34" charset="0"/>
              <a:cs typeface="Arial" panose="020B0604020202020204" pitchFamily="34" charset="0"/>
            </a:rPr>
            <a:t>Public data</a:t>
          </a:r>
        </a:p>
      </cdr:txBody>
    </cdr:sp>
  </cdr:relSizeAnchor>
  <cdr:relSizeAnchor xmlns:cdr="http://schemas.openxmlformats.org/drawingml/2006/chartDrawing">
    <cdr:from>
      <cdr:x>0.63464</cdr:x>
      <cdr:y>0.14103</cdr:y>
    </cdr:from>
    <cdr:to>
      <cdr:x>0.69432</cdr:x>
      <cdr:y>0.14744</cdr:y>
    </cdr:to>
    <cdr:cxnSp macro="">
      <cdr:nvCxnSpPr>
        <cdr:cNvPr id="6" name="Straight Arrow Connector 5"/>
        <cdr:cNvCxnSpPr/>
      </cdr:nvCxnSpPr>
      <cdr:spPr>
        <a:xfrm xmlns:a="http://schemas.openxmlformats.org/drawingml/2006/main">
          <a:off x="4152900" y="628650"/>
          <a:ext cx="390525" cy="28575"/>
        </a:xfrm>
        <a:prstGeom xmlns:a="http://schemas.openxmlformats.org/drawingml/2006/main" prst="straightConnector1">
          <a:avLst/>
        </a:prstGeom>
        <a:ln xmlns:a="http://schemas.openxmlformats.org/drawingml/2006/main" w="9525">
          <a:solidFill>
            <a:schemeClr val="tx1"/>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dr:relSizeAnchor xmlns:cdr="http://schemas.openxmlformats.org/drawingml/2006/chartDrawing">
    <cdr:from>
      <cdr:x>0.71179</cdr:x>
      <cdr:y>0.24145</cdr:y>
    </cdr:from>
    <cdr:to>
      <cdr:x>0.72489</cdr:x>
      <cdr:y>0.29701</cdr:y>
    </cdr:to>
    <cdr:cxnSp macro="">
      <cdr:nvCxnSpPr>
        <cdr:cNvPr id="9" name="Straight Arrow Connector 8"/>
        <cdr:cNvCxnSpPr/>
      </cdr:nvCxnSpPr>
      <cdr:spPr>
        <a:xfrm xmlns:a="http://schemas.openxmlformats.org/drawingml/2006/main" flipH="1" flipV="1">
          <a:off x="4657726" y="1076325"/>
          <a:ext cx="85724" cy="247650"/>
        </a:xfrm>
        <a:prstGeom xmlns:a="http://schemas.openxmlformats.org/drawingml/2006/main" prst="straightConnector1">
          <a:avLst/>
        </a:prstGeom>
        <a:ln xmlns:a="http://schemas.openxmlformats.org/drawingml/2006/main" w="9525">
          <a:solidFill>
            <a:schemeClr val="tx1">
              <a:lumMod val="50000"/>
              <a:lumOff val="50000"/>
            </a:schemeClr>
          </a:solidFill>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davidsplinter.com/Auten_Splinter_SAScode.txt" TargetMode="External"/><Relationship Id="rId2" Type="http://schemas.openxmlformats.org/officeDocument/2006/relationships/hyperlink" Target="http://gabriel-zucman.eu/files/PSZ2018DataAppendix.pdf" TargetMode="External"/><Relationship Id="rId1" Type="http://schemas.openxmlformats.org/officeDocument/2006/relationships/hyperlink" Target="http://davidsplinter.com/AutenSplinter-IncomeIneq.xlsx"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tabSelected="1" workbookViewId="0"/>
  </sheetViews>
  <sheetFormatPr defaultColWidth="10.88671875" defaultRowHeight="18"/>
  <cols>
    <col min="1" max="16384" width="10.88671875" style="64"/>
  </cols>
  <sheetData>
    <row r="1" spans="1:2">
      <c r="A1" s="63"/>
    </row>
    <row r="2" spans="1:2">
      <c r="A2" s="94" t="s">
        <v>125</v>
      </c>
    </row>
    <row r="3" spans="1:2">
      <c r="A3" s="95" t="s">
        <v>126</v>
      </c>
    </row>
    <row r="4" spans="1:2">
      <c r="A4" s="94"/>
    </row>
    <row r="5" spans="1:2">
      <c r="A5" s="94" t="s">
        <v>127</v>
      </c>
    </row>
    <row r="6" spans="1:2">
      <c r="A6" s="98">
        <v>1</v>
      </c>
      <c r="B6" s="64" t="s">
        <v>144</v>
      </c>
    </row>
    <row r="7" spans="1:2">
      <c r="A7" s="63"/>
    </row>
    <row r="8" spans="1:2">
      <c r="A8" s="63" t="s">
        <v>128</v>
      </c>
    </row>
    <row r="9" spans="1:2">
      <c r="A9" s="98">
        <v>1</v>
      </c>
      <c r="B9" s="64" t="s">
        <v>145</v>
      </c>
    </row>
    <row r="10" spans="1:2">
      <c r="A10" s="98">
        <v>2</v>
      </c>
      <c r="B10" s="64" t="s">
        <v>146</v>
      </c>
    </row>
    <row r="11" spans="1:2">
      <c r="A11" s="98">
        <v>3</v>
      </c>
      <c r="B11" s="64" t="s">
        <v>141</v>
      </c>
    </row>
    <row r="12" spans="1:2">
      <c r="A12" s="63"/>
    </row>
    <row r="13" spans="1:2">
      <c r="A13" s="63"/>
    </row>
    <row r="14" spans="1:2">
      <c r="A14" s="63"/>
    </row>
    <row r="15" spans="1:2">
      <c r="A15" s="63"/>
    </row>
    <row r="16" spans="1:2">
      <c r="A16" s="63" t="s">
        <v>51</v>
      </c>
    </row>
    <row r="17" spans="1:1" ht="9.75" customHeight="1"/>
    <row r="18" spans="1:1">
      <c r="A18" s="64" t="s">
        <v>48</v>
      </c>
    </row>
    <row r="19" spans="1:1">
      <c r="A19" s="65" t="s">
        <v>6</v>
      </c>
    </row>
    <row r="20" spans="1:1" ht="12" customHeight="1"/>
    <row r="21" spans="1:1">
      <c r="A21" s="64" t="s">
        <v>47</v>
      </c>
    </row>
    <row r="22" spans="1:1">
      <c r="A22" s="65" t="s">
        <v>46</v>
      </c>
    </row>
    <row r="23" spans="1:1" ht="12" customHeight="1"/>
    <row r="24" spans="1:1">
      <c r="A24" s="64" t="s">
        <v>49</v>
      </c>
    </row>
    <row r="25" spans="1:1">
      <c r="A25" s="65" t="s">
        <v>50</v>
      </c>
    </row>
    <row r="26" spans="1:1" ht="12.75" customHeight="1"/>
    <row r="27" spans="1:1">
      <c r="A27" s="64" t="s">
        <v>53</v>
      </c>
    </row>
    <row r="28" spans="1:1">
      <c r="A28" s="65" t="s">
        <v>52</v>
      </c>
    </row>
    <row r="29" spans="1:1" ht="13.5" customHeight="1"/>
    <row r="30" spans="1:1">
      <c r="A30" s="64" t="s">
        <v>122</v>
      </c>
    </row>
  </sheetData>
  <hyperlinks>
    <hyperlink ref="A22" r:id="rId1"/>
    <hyperlink ref="A25" r:id="rId2"/>
    <hyperlink ref="A28" r:id="rId3"/>
    <hyperlink ref="A11" location="'F3-Real'!A1" display="'F3-Real'!A1"/>
    <hyperlink ref="A6" location="'T1'!A1" display="'T1'!A1"/>
    <hyperlink ref="A9" location="'F1-PSZ'!A1" display="'F1-PSZ'!A1"/>
    <hyperlink ref="A10" location="'F2-AS'!A1" display="'F2-AS'!A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workbookViewId="0">
      <selection activeCell="A2" sqref="A2"/>
    </sheetView>
  </sheetViews>
  <sheetFormatPr defaultRowHeight="14.4"/>
  <cols>
    <col min="1" max="1" width="11.88671875" customWidth="1"/>
    <col min="2" max="3" width="9" customWidth="1"/>
    <col min="4" max="4" width="1.109375" customWidth="1"/>
    <col min="5" max="5" width="8.88671875" customWidth="1"/>
    <col min="6" max="6" width="9.44140625" customWidth="1"/>
    <col min="7" max="7" width="1.109375" customWidth="1"/>
    <col min="8" max="8" width="8.88671875" customWidth="1"/>
    <col min="9" max="9" width="9.33203125" customWidth="1"/>
    <col min="10" max="10" width="1.109375" customWidth="1"/>
    <col min="13" max="13" width="6.44140625" customWidth="1"/>
  </cols>
  <sheetData>
    <row r="1" spans="1:14">
      <c r="A1" s="96" t="s">
        <v>129</v>
      </c>
      <c r="N1" s="99" t="s">
        <v>143</v>
      </c>
    </row>
    <row r="2" spans="1:14" ht="15" thickBot="1"/>
    <row r="3" spans="1:14" ht="15" thickTop="1">
      <c r="A3" s="79"/>
      <c r="B3" s="80" t="s">
        <v>63</v>
      </c>
      <c r="C3" s="81" t="s">
        <v>64</v>
      </c>
      <c r="D3" s="79"/>
      <c r="E3" s="80" t="s">
        <v>65</v>
      </c>
      <c r="F3" s="81" t="s">
        <v>68</v>
      </c>
      <c r="G3" s="79"/>
      <c r="H3" s="80" t="s">
        <v>69</v>
      </c>
      <c r="I3" s="81" t="s">
        <v>70</v>
      </c>
      <c r="J3" s="79"/>
      <c r="K3" s="80" t="s">
        <v>71</v>
      </c>
      <c r="L3" s="81" t="s">
        <v>72</v>
      </c>
    </row>
    <row r="4" spans="1:14">
      <c r="A4" s="82"/>
      <c r="B4" s="116" t="s">
        <v>113</v>
      </c>
      <c r="C4" s="116"/>
      <c r="D4" s="92"/>
      <c r="E4" s="116" t="s">
        <v>114</v>
      </c>
      <c r="F4" s="116"/>
      <c r="G4" s="92"/>
      <c r="H4" s="116" t="s">
        <v>120</v>
      </c>
      <c r="I4" s="116"/>
      <c r="J4" s="92"/>
      <c r="K4" s="116" t="s">
        <v>115</v>
      </c>
      <c r="L4" s="116"/>
    </row>
    <row r="5" spans="1:14">
      <c r="A5" s="83"/>
      <c r="B5" s="89" t="s">
        <v>1</v>
      </c>
      <c r="C5" s="89" t="s">
        <v>2</v>
      </c>
      <c r="D5" s="90"/>
      <c r="E5" s="89" t="s">
        <v>1</v>
      </c>
      <c r="F5" s="89" t="s">
        <v>2</v>
      </c>
      <c r="G5" s="90"/>
      <c r="H5" s="89" t="s">
        <v>1</v>
      </c>
      <c r="I5" s="89" t="s">
        <v>2</v>
      </c>
      <c r="J5" s="90"/>
      <c r="K5" s="89" t="s">
        <v>1</v>
      </c>
      <c r="L5" s="89" t="s">
        <v>2</v>
      </c>
    </row>
    <row r="6" spans="1:14">
      <c r="A6" s="114" t="s">
        <v>60</v>
      </c>
      <c r="B6" s="85" t="str">
        <f>"-0.299+"</f>
        <v>-0.299+</v>
      </c>
      <c r="C6" s="85" t="str">
        <f>"-0.367+"</f>
        <v>-0.367+</v>
      </c>
      <c r="D6" s="85"/>
      <c r="E6" s="85" t="str">
        <f>"0.300*"</f>
        <v>0.300*</v>
      </c>
      <c r="F6" s="85" t="str">
        <f>"0.278*"</f>
        <v>0.278*</v>
      </c>
      <c r="G6" s="85"/>
      <c r="H6" s="85" t="s">
        <v>96</v>
      </c>
      <c r="I6" s="85" t="s">
        <v>97</v>
      </c>
      <c r="J6" s="85"/>
      <c r="K6" s="85" t="s">
        <v>78</v>
      </c>
      <c r="L6" s="85" t="s">
        <v>79</v>
      </c>
    </row>
    <row r="7" spans="1:14" ht="13.5" customHeight="1">
      <c r="A7" s="115"/>
      <c r="B7" s="87" t="str">
        <f>"(0.158)"</f>
        <v>(0.158)</v>
      </c>
      <c r="C7" s="87" t="str">
        <f>"(0.184)"</f>
        <v>(0.184)</v>
      </c>
      <c r="D7" s="87"/>
      <c r="E7" s="87" t="str">
        <f>"(0.117)"</f>
        <v>(0.117)</v>
      </c>
      <c r="F7" s="87" t="str">
        <f>"(0.119)"</f>
        <v>(0.119)</v>
      </c>
      <c r="G7" s="87"/>
      <c r="H7" s="87" t="s">
        <v>99</v>
      </c>
      <c r="I7" s="87" t="s">
        <v>100</v>
      </c>
      <c r="J7" s="87"/>
      <c r="K7" s="87" t="s">
        <v>81</v>
      </c>
      <c r="L7" s="87" t="s">
        <v>82</v>
      </c>
    </row>
    <row r="8" spans="1:14" ht="4.5" customHeight="1">
      <c r="A8" s="91"/>
      <c r="B8" s="85"/>
      <c r="C8" s="85"/>
      <c r="D8" s="85"/>
      <c r="E8" s="85"/>
      <c r="F8" s="85"/>
      <c r="G8" s="85"/>
      <c r="H8" s="85"/>
      <c r="I8" s="85"/>
      <c r="J8" s="85"/>
      <c r="K8" s="85"/>
      <c r="L8" s="85"/>
    </row>
    <row r="9" spans="1:14">
      <c r="A9" s="115" t="s">
        <v>124</v>
      </c>
      <c r="B9" s="85" t="str">
        <f>"0.013"</f>
        <v>0.013</v>
      </c>
      <c r="C9" s="85" t="str">
        <f>"-0.0001"</f>
        <v>-0.0001</v>
      </c>
      <c r="D9" s="85"/>
      <c r="E9" s="85" t="str">
        <f>"-0.190*"</f>
        <v>-0.190*</v>
      </c>
      <c r="F9" s="85" t="str">
        <f>"-0.274**"</f>
        <v>-0.274**</v>
      </c>
      <c r="G9" s="85"/>
      <c r="H9" s="85" t="s">
        <v>102</v>
      </c>
      <c r="I9" s="85" t="s">
        <v>103</v>
      </c>
      <c r="J9" s="85"/>
      <c r="K9" s="85" t="s">
        <v>84</v>
      </c>
      <c r="L9" s="85" t="s">
        <v>85</v>
      </c>
    </row>
    <row r="10" spans="1:14" ht="13.5" customHeight="1">
      <c r="A10" s="115"/>
      <c r="B10" s="87" t="str">
        <f>"(0.074)"</f>
        <v>(0.074)</v>
      </c>
      <c r="C10" s="87" t="str">
        <f>"(0.106)"</f>
        <v>(0.106)</v>
      </c>
      <c r="D10" s="87"/>
      <c r="E10" s="87" t="str">
        <f>"(0.073)"</f>
        <v>(0.073)</v>
      </c>
      <c r="F10" s="87" t="str">
        <f>"(0.076)"</f>
        <v>(0.076)</v>
      </c>
      <c r="G10" s="87"/>
      <c r="H10" s="87" t="s">
        <v>105</v>
      </c>
      <c r="I10" s="87" t="s">
        <v>106</v>
      </c>
      <c r="J10" s="87"/>
      <c r="K10" s="87" t="s">
        <v>87</v>
      </c>
      <c r="L10" s="87" t="s">
        <v>88</v>
      </c>
    </row>
    <row r="11" spans="1:14" ht="6" customHeight="1">
      <c r="A11" s="91"/>
      <c r="B11" s="85"/>
      <c r="C11" s="85"/>
      <c r="D11" s="85"/>
      <c r="E11" s="85"/>
      <c r="F11" s="85"/>
      <c r="G11" s="85"/>
      <c r="H11" s="85"/>
      <c r="I11" s="85"/>
      <c r="J11" s="85"/>
      <c r="K11" s="85"/>
      <c r="L11" s="85"/>
    </row>
    <row r="12" spans="1:14">
      <c r="A12" s="115" t="s">
        <v>61</v>
      </c>
      <c r="B12" s="85" t="str">
        <f>"-3.208**"</f>
        <v>-3.208**</v>
      </c>
      <c r="C12" s="85" t="str">
        <f>"-3.235**"</f>
        <v>-3.235**</v>
      </c>
      <c r="D12" s="85"/>
      <c r="E12" s="85" t="str">
        <f>"-4.346**"</f>
        <v>-4.346**</v>
      </c>
      <c r="F12" s="85" t="str">
        <f>"-3.876**"</f>
        <v>-3.876**</v>
      </c>
      <c r="G12" s="85"/>
      <c r="H12" s="85" t="s">
        <v>108</v>
      </c>
      <c r="I12" s="85" t="s">
        <v>109</v>
      </c>
      <c r="J12" s="85"/>
      <c r="K12" s="85" t="s">
        <v>90</v>
      </c>
      <c r="L12" s="85" t="s">
        <v>91</v>
      </c>
    </row>
    <row r="13" spans="1:14" ht="13.5" customHeight="1">
      <c r="A13" s="115"/>
      <c r="B13" s="87" t="str">
        <f>"(0.318)"</f>
        <v>(0.318)</v>
      </c>
      <c r="C13" s="87" t="str">
        <f>"(0.250)"</f>
        <v>(0.250)</v>
      </c>
      <c r="D13" s="87"/>
      <c r="E13" s="87" t="str">
        <f>"(0.245)"</f>
        <v>(0.245)</v>
      </c>
      <c r="F13" s="87" t="str">
        <f>"(0.152)"</f>
        <v>(0.152)</v>
      </c>
      <c r="G13" s="87"/>
      <c r="H13" s="87" t="s">
        <v>111</v>
      </c>
      <c r="I13" s="87" t="s">
        <v>112</v>
      </c>
      <c r="J13" s="87"/>
      <c r="K13" s="87" t="s">
        <v>93</v>
      </c>
      <c r="L13" s="87" t="s">
        <v>94</v>
      </c>
    </row>
    <row r="14" spans="1:14" ht="6" customHeight="1">
      <c r="A14" s="84"/>
      <c r="B14" s="85"/>
      <c r="C14" s="85"/>
      <c r="D14" s="85"/>
      <c r="E14" s="85"/>
      <c r="F14" s="85"/>
      <c r="G14" s="85"/>
      <c r="H14" s="85"/>
      <c r="I14" s="85"/>
      <c r="J14" s="85"/>
      <c r="K14" s="85"/>
      <c r="L14" s="85"/>
    </row>
    <row r="15" spans="1:14" ht="14.25" customHeight="1">
      <c r="A15" s="83" t="s">
        <v>62</v>
      </c>
      <c r="B15" s="86" t="str">
        <f>"83"</f>
        <v>83</v>
      </c>
      <c r="C15" s="86" t="str">
        <f>"83"</f>
        <v>83</v>
      </c>
      <c r="D15" s="86"/>
      <c r="E15" s="86" t="str">
        <f>"49"</f>
        <v>49</v>
      </c>
      <c r="F15" s="86" t="str">
        <f>"49"</f>
        <v>49</v>
      </c>
      <c r="G15" s="86"/>
      <c r="H15" s="86">
        <v>27</v>
      </c>
      <c r="I15" s="86">
        <v>27</v>
      </c>
      <c r="J15" s="86"/>
      <c r="K15" s="86">
        <v>28</v>
      </c>
      <c r="L15" s="86">
        <v>28</v>
      </c>
    </row>
    <row r="16" spans="1:14" ht="9.75" customHeight="1"/>
    <row r="17" spans="1:14" ht="55.5" customHeight="1">
      <c r="A17" s="117" t="s">
        <v>130</v>
      </c>
      <c r="B17" s="117"/>
      <c r="C17" s="117"/>
      <c r="D17" s="117"/>
      <c r="E17" s="117"/>
      <c r="F17" s="117"/>
      <c r="G17" s="117"/>
      <c r="H17" s="117"/>
      <c r="I17" s="117"/>
      <c r="J17" s="117"/>
      <c r="K17" s="117"/>
      <c r="L17" s="117"/>
      <c r="M17" s="117"/>
      <c r="N17" s="117"/>
    </row>
    <row r="18" spans="1:14" ht="33" customHeight="1">
      <c r="A18" s="113" t="s">
        <v>131</v>
      </c>
      <c r="B18" s="113"/>
      <c r="C18" s="113"/>
      <c r="D18" s="113"/>
      <c r="E18" s="113"/>
      <c r="F18" s="113"/>
      <c r="G18" s="113"/>
      <c r="H18" s="113"/>
      <c r="I18" s="113"/>
      <c r="J18" s="113"/>
      <c r="K18" s="113"/>
      <c r="L18" s="113"/>
      <c r="M18" s="113"/>
      <c r="N18" s="113"/>
    </row>
    <row r="19" spans="1:14">
      <c r="A19" s="31"/>
    </row>
    <row r="20" spans="1:14">
      <c r="A20" s="31"/>
    </row>
    <row r="21" spans="1:14">
      <c r="A21" s="31"/>
    </row>
    <row r="24" spans="1:14">
      <c r="A24" s="31"/>
    </row>
  </sheetData>
  <mergeCells count="9">
    <mergeCell ref="A18:N18"/>
    <mergeCell ref="A6:A7"/>
    <mergeCell ref="A9:A10"/>
    <mergeCell ref="A12:A13"/>
    <mergeCell ref="B4:C4"/>
    <mergeCell ref="E4:F4"/>
    <mergeCell ref="H4:I4"/>
    <mergeCell ref="K4:L4"/>
    <mergeCell ref="A17:N17"/>
  </mergeCells>
  <hyperlinks>
    <hyperlink ref="N1" location="Index!A1" display="index"/>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38"/>
  <sheetViews>
    <sheetView workbookViewId="0">
      <selection activeCell="D88" sqref="D88:E88"/>
    </sheetView>
  </sheetViews>
  <sheetFormatPr defaultRowHeight="14.4"/>
  <sheetData>
    <row r="1" spans="1:10">
      <c r="A1" s="68" t="s">
        <v>132</v>
      </c>
      <c r="J1" s="99" t="s">
        <v>143</v>
      </c>
    </row>
    <row r="27" spans="1:12" ht="42.75" customHeight="1">
      <c r="A27" s="117" t="s">
        <v>133</v>
      </c>
      <c r="B27" s="117"/>
      <c r="C27" s="117"/>
      <c r="D27" s="117"/>
      <c r="E27" s="117"/>
      <c r="F27" s="117"/>
      <c r="G27" s="117"/>
      <c r="H27" s="117"/>
      <c r="I27" s="117"/>
      <c r="J27" s="117"/>
      <c r="K27" s="117"/>
      <c r="L27" s="117"/>
    </row>
    <row r="28" spans="1:12" ht="25.5" customHeight="1">
      <c r="A28" s="117" t="s">
        <v>134</v>
      </c>
      <c r="B28" s="117"/>
      <c r="C28" s="117"/>
      <c r="D28" s="117"/>
      <c r="E28" s="117"/>
      <c r="F28" s="117"/>
      <c r="G28" s="117"/>
      <c r="H28" s="117"/>
      <c r="I28" s="117"/>
      <c r="J28" s="117"/>
      <c r="K28" s="117"/>
      <c r="L28" s="117"/>
    </row>
    <row r="29" spans="1:12">
      <c r="A29" s="31"/>
    </row>
    <row r="32" spans="1:12">
      <c r="A32" s="31"/>
      <c r="B32" s="118" t="s">
        <v>54</v>
      </c>
      <c r="C32" s="118"/>
      <c r="D32" s="118"/>
      <c r="E32" s="118"/>
    </row>
    <row r="33" spans="1:5">
      <c r="A33" s="31"/>
      <c r="B33" s="118" t="s">
        <v>2</v>
      </c>
      <c r="C33" s="118"/>
      <c r="D33" s="118" t="s">
        <v>1</v>
      </c>
      <c r="E33" s="118"/>
    </row>
    <row r="34" spans="1:5">
      <c r="A34" s="35"/>
      <c r="B34" s="61" t="s">
        <v>55</v>
      </c>
      <c r="C34" s="61" t="s">
        <v>56</v>
      </c>
      <c r="D34" s="61" t="s">
        <v>55</v>
      </c>
      <c r="E34" s="61" t="s">
        <v>56</v>
      </c>
    </row>
    <row r="35" spans="1:5">
      <c r="A35">
        <v>1917</v>
      </c>
      <c r="B35" s="67">
        <f>Data!B5</f>
        <v>4.4090587645769119E-2</v>
      </c>
      <c r="C35" s="67">
        <f>Data!BF5</f>
        <v>3.012750638177418E-2</v>
      </c>
      <c r="D35" s="67">
        <f>Data!C5</f>
        <v>3.7426386028528214E-2</v>
      </c>
      <c r="E35" s="67">
        <f>Data!BG5</f>
        <v>2.6131837841349207E-2</v>
      </c>
    </row>
    <row r="36" spans="1:5">
      <c r="A36">
        <v>1918</v>
      </c>
      <c r="B36" s="67"/>
      <c r="C36" s="67"/>
      <c r="D36" s="67"/>
      <c r="E36" s="67"/>
    </row>
    <row r="37" spans="1:5">
      <c r="A37">
        <v>1919</v>
      </c>
      <c r="B37" s="67"/>
      <c r="C37" s="67"/>
      <c r="D37" s="67"/>
      <c r="E37" s="67"/>
    </row>
    <row r="38" spans="1:5">
      <c r="A38">
        <v>1920</v>
      </c>
      <c r="B38" s="67"/>
      <c r="C38" s="67"/>
      <c r="D38" s="67"/>
      <c r="E38" s="67"/>
    </row>
    <row r="39" spans="1:5">
      <c r="A39">
        <v>1921</v>
      </c>
      <c r="B39" s="67"/>
      <c r="C39" s="67"/>
      <c r="D39" s="67"/>
      <c r="E39" s="67"/>
    </row>
    <row r="40" spans="1:5">
      <c r="A40">
        <v>1922</v>
      </c>
      <c r="B40" s="67">
        <f>Data!B10</f>
        <v>3.278394415974617E-2</v>
      </c>
      <c r="C40" s="67">
        <f>Data!BF10</f>
        <v>2.3756734268379463E-2</v>
      </c>
      <c r="D40" s="67">
        <f>Data!C10</f>
        <v>3.0350007116794586E-2</v>
      </c>
      <c r="E40" s="67">
        <f>Data!BG10</f>
        <v>2.1251914728282719E-2</v>
      </c>
    </row>
    <row r="41" spans="1:5">
      <c r="A41">
        <v>1923</v>
      </c>
      <c r="B41" s="67">
        <f>Data!B11</f>
        <v>3.5604115575551987E-2</v>
      </c>
      <c r="C41" s="67">
        <f>Data!BF11</f>
        <v>2.1331270457039007E-2</v>
      </c>
      <c r="D41" s="67">
        <f>Data!C11</f>
        <v>3.2255783677101135E-2</v>
      </c>
      <c r="E41" s="67">
        <f>Data!BG11</f>
        <v>1.990115635952935E-2</v>
      </c>
    </row>
    <row r="42" spans="1:5">
      <c r="A42">
        <v>1924</v>
      </c>
      <c r="B42" s="67">
        <f>Data!B12</f>
        <v>3.6353945732116699E-2</v>
      </c>
      <c r="C42" s="67">
        <f>Data!BF12</f>
        <v>2.4245232647264251E-2</v>
      </c>
      <c r="D42" s="67">
        <f>Data!C12</f>
        <v>3.2178658992052078E-2</v>
      </c>
      <c r="E42" s="67">
        <f>Data!BG12</f>
        <v>2.1409866453935989E-2</v>
      </c>
    </row>
    <row r="43" spans="1:5">
      <c r="A43">
        <v>1925</v>
      </c>
      <c r="B43" s="67">
        <f>Data!B13</f>
        <v>2.6901287958025932E-2</v>
      </c>
      <c r="C43" s="67">
        <f>Data!BF13</f>
        <v>1.6051211819229989E-2</v>
      </c>
      <c r="D43" s="67">
        <f>Data!C13</f>
        <v>2.6897955685853958E-2</v>
      </c>
      <c r="E43" s="67">
        <f>Data!BG13</f>
        <v>1.6695623232271195E-2</v>
      </c>
    </row>
    <row r="44" spans="1:5">
      <c r="A44">
        <v>1926</v>
      </c>
      <c r="B44" s="67">
        <f>Data!B14</f>
        <v>2.8996966779232025E-2</v>
      </c>
      <c r="C44" s="67">
        <f>Data!BF14</f>
        <v>1.5436986584973911E-2</v>
      </c>
      <c r="D44" s="67">
        <f>Data!C14</f>
        <v>2.9064007103443146E-2</v>
      </c>
      <c r="E44" s="67">
        <f>Data!BG14</f>
        <v>1.6372407755276049E-2</v>
      </c>
    </row>
    <row r="45" spans="1:5">
      <c r="A45">
        <v>1927</v>
      </c>
      <c r="B45" s="67">
        <f>Data!B15</f>
        <v>3.0209345743060112E-2</v>
      </c>
      <c r="C45" s="67">
        <f>Data!BF15</f>
        <v>1.9322068743882818E-2</v>
      </c>
      <c r="D45" s="67">
        <f>Data!C15</f>
        <v>2.9656426981091499E-2</v>
      </c>
      <c r="E45" s="67">
        <f>Data!BG15</f>
        <v>1.934306499615426E-2</v>
      </c>
    </row>
    <row r="46" spans="1:5">
      <c r="A46">
        <v>1928</v>
      </c>
      <c r="B46" s="67">
        <f>Data!B16</f>
        <v>2.546476386487484E-2</v>
      </c>
      <c r="C46" s="67">
        <f>Data!BF16</f>
        <v>1.5795639858248361E-2</v>
      </c>
      <c r="D46" s="67">
        <f>Data!C16</f>
        <v>2.5770574808120728E-2</v>
      </c>
      <c r="E46" s="67">
        <f>Data!BG16</f>
        <v>1.6541472511698126E-2</v>
      </c>
    </row>
    <row r="47" spans="1:5">
      <c r="A47">
        <v>1929</v>
      </c>
      <c r="B47" s="67">
        <f>Data!B17</f>
        <v>2.534228190779686E-2</v>
      </c>
      <c r="C47" s="67">
        <f>Data!BF17</f>
        <v>1.3518580954448576E-2</v>
      </c>
      <c r="D47" s="67">
        <f>Data!C17</f>
        <v>2.5517016649246216E-2</v>
      </c>
      <c r="E47" s="67">
        <f>Data!BG17</f>
        <v>1.4764242502307038E-2</v>
      </c>
    </row>
    <row r="48" spans="1:5">
      <c r="A48">
        <v>1930</v>
      </c>
      <c r="B48" s="67">
        <f>Data!B18</f>
        <v>3.366384282708168E-2</v>
      </c>
      <c r="C48" s="67">
        <f>Data!BF18</f>
        <v>2.2681491445380699E-2</v>
      </c>
      <c r="D48" s="67">
        <f>Data!C18</f>
        <v>3.0839333310723305E-2</v>
      </c>
      <c r="E48" s="67">
        <f>Data!BG18</f>
        <v>2.0337081823937758E-2</v>
      </c>
    </row>
    <row r="49" spans="1:5">
      <c r="A49">
        <v>1931</v>
      </c>
      <c r="B49" s="67">
        <f>Data!B19</f>
        <v>3.2495655119419098E-2</v>
      </c>
      <c r="C49" s="67">
        <f>Data!BF19</f>
        <v>3.2636776296390377E-2</v>
      </c>
      <c r="D49" s="67">
        <f>Data!C19</f>
        <v>3.0442750081419945E-2</v>
      </c>
      <c r="E49" s="67">
        <f>Data!BG19</f>
        <v>2.5880256677141306E-2</v>
      </c>
    </row>
    <row r="50" spans="1:5">
      <c r="A50">
        <v>1932</v>
      </c>
      <c r="B50" s="67">
        <f>Data!B20</f>
        <v>3.769032284617424E-2</v>
      </c>
      <c r="C50" s="67">
        <f>Data!BF20</f>
        <v>5.4331278781008734E-2</v>
      </c>
      <c r="D50" s="67">
        <f>Data!C20</f>
        <v>3.3135499805212021E-2</v>
      </c>
      <c r="E50" s="67">
        <f>Data!BG20</f>
        <v>3.4226052242014852E-2</v>
      </c>
    </row>
    <row r="51" spans="1:5">
      <c r="A51">
        <v>1933</v>
      </c>
      <c r="B51" s="67">
        <f>Data!B21</f>
        <v>2.6332790032029152E-2</v>
      </c>
      <c r="C51" s="67">
        <f>Data!BF21</f>
        <v>3.0634123253950134E-2</v>
      </c>
      <c r="D51" s="67">
        <f>Data!C21</f>
        <v>2.5761781260371208E-2</v>
      </c>
      <c r="E51" s="67">
        <f>Data!BG21</f>
        <v>2.3363957509501439E-2</v>
      </c>
    </row>
    <row r="52" spans="1:5">
      <c r="A52">
        <v>1934</v>
      </c>
      <c r="B52" s="67">
        <f>Data!B22</f>
        <v>3.9727747440338135E-2</v>
      </c>
      <c r="C52" s="67">
        <f>Data!BF22</f>
        <v>3.2285858461641233E-2</v>
      </c>
      <c r="D52" s="67">
        <f>Data!C22</f>
        <v>3.0519535765051842E-2</v>
      </c>
      <c r="E52" s="67">
        <f>Data!BG22</f>
        <v>2.1131191804336605E-2</v>
      </c>
    </row>
    <row r="53" spans="1:5">
      <c r="A53">
        <v>1935</v>
      </c>
      <c r="B53" s="67">
        <f>Data!B23</f>
        <v>4.1064772754907608E-2</v>
      </c>
      <c r="C53" s="67">
        <f>Data!BF23</f>
        <v>2.9730105670118832E-2</v>
      </c>
      <c r="D53" s="67">
        <f>Data!C23</f>
        <v>3.1065098941326141E-2</v>
      </c>
      <c r="E53" s="67">
        <f>Data!BG23</f>
        <v>2.0138613638516323E-2</v>
      </c>
    </row>
    <row r="54" spans="1:5">
      <c r="A54">
        <v>1936</v>
      </c>
      <c r="B54" s="67">
        <f>Data!B24</f>
        <v>4.5951876789331436E-2</v>
      </c>
      <c r="C54" s="67">
        <f>Data!BF24</f>
        <v>3.2579922335056903E-2</v>
      </c>
      <c r="D54" s="67">
        <f>Data!C24</f>
        <v>3.2578632235527039E-2</v>
      </c>
      <c r="E54" s="67">
        <f>Data!BG24</f>
        <v>2.1180560142644737E-2</v>
      </c>
    </row>
    <row r="55" spans="1:5">
      <c r="A55">
        <v>1937</v>
      </c>
      <c r="B55" s="67">
        <f>Data!B25</f>
        <v>4.7161825001239777E-2</v>
      </c>
      <c r="C55" s="67">
        <f>Data!BF25</f>
        <v>3.0124824241949309E-2</v>
      </c>
      <c r="D55" s="67">
        <f>Data!C25</f>
        <v>3.3149532973766327E-2</v>
      </c>
      <c r="E55" s="67">
        <f>Data!BG25</f>
        <v>2.0113623438206964E-2</v>
      </c>
    </row>
    <row r="56" spans="1:5">
      <c r="A56">
        <v>1938</v>
      </c>
      <c r="B56" s="67">
        <f>Data!B26</f>
        <v>3.8555514067411423E-2</v>
      </c>
      <c r="C56" s="67">
        <f>Data!BF26</f>
        <v>2.26947958266643E-2</v>
      </c>
      <c r="D56" s="67">
        <f>Data!C26</f>
        <v>3.0465288087725639E-2</v>
      </c>
      <c r="E56" s="67">
        <f>Data!BG26</f>
        <v>1.7979046877553216E-2</v>
      </c>
    </row>
    <row r="57" spans="1:5">
      <c r="A57">
        <v>1939</v>
      </c>
      <c r="B57" s="67">
        <f>Data!B27</f>
        <v>5.0459377467632294E-2</v>
      </c>
      <c r="C57" s="67">
        <f>Data!BF27</f>
        <v>2.9913629509930095E-2</v>
      </c>
      <c r="D57" s="67">
        <f>Data!C27</f>
        <v>3.5564031451940536E-2</v>
      </c>
      <c r="E57" s="67">
        <f>Data!BG27</f>
        <v>2.0265516605204585E-2</v>
      </c>
    </row>
    <row r="58" spans="1:5">
      <c r="A58">
        <v>1940</v>
      </c>
      <c r="B58" s="67">
        <f>Data!B28</f>
        <v>5.1153421401977539E-2</v>
      </c>
      <c r="C58" s="67">
        <f>Data!BF28</f>
        <v>2.4988186091767374E-2</v>
      </c>
      <c r="D58" s="67">
        <f>Data!C28</f>
        <v>3.6099828779697418E-2</v>
      </c>
      <c r="E58" s="67">
        <f>Data!BG28</f>
        <v>1.8492948688934682E-2</v>
      </c>
    </row>
    <row r="59" spans="1:5">
      <c r="A59">
        <v>1941</v>
      </c>
      <c r="B59" s="67">
        <f>Data!B29</f>
        <v>4.5914281159639359E-2</v>
      </c>
      <c r="C59" s="67">
        <f>Data!BF29</f>
        <v>1.9317033593224123E-2</v>
      </c>
      <c r="D59" s="67">
        <f>Data!C29</f>
        <v>3.2276339828968048E-2</v>
      </c>
      <c r="E59" s="67">
        <f>Data!BG29</f>
        <v>1.4825014910020111E-2</v>
      </c>
    </row>
    <row r="60" spans="1:5">
      <c r="A60">
        <v>1942</v>
      </c>
      <c r="B60" s="67">
        <f>Data!B30</f>
        <v>3.9713490754365921E-2</v>
      </c>
      <c r="C60" s="67">
        <f>Data!BF30</f>
        <v>1.412408602738514E-2</v>
      </c>
      <c r="D60" s="67">
        <f>Data!C30</f>
        <v>2.9717827215790749E-2</v>
      </c>
      <c r="E60" s="67">
        <f>Data!BG30</f>
        <v>1.1829896648532798E-2</v>
      </c>
    </row>
    <row r="61" spans="1:5">
      <c r="A61">
        <v>1943</v>
      </c>
      <c r="B61" s="67"/>
      <c r="C61" s="67"/>
      <c r="D61" s="67"/>
      <c r="E61" s="67"/>
    </row>
    <row r="62" spans="1:5">
      <c r="A62">
        <v>1944</v>
      </c>
      <c r="B62" s="67">
        <f>Data!B32</f>
        <v>4.7171000391244888E-2</v>
      </c>
      <c r="C62" s="67">
        <f>Data!BF32</f>
        <v>1.4766753500677663E-2</v>
      </c>
      <c r="D62" s="67">
        <f>Data!C32</f>
        <v>3.6614902317523956E-2</v>
      </c>
      <c r="E62" s="67">
        <f>Data!BG32</f>
        <v>1.3693775439459946E-2</v>
      </c>
    </row>
    <row r="63" spans="1:5">
      <c r="A63">
        <v>1945</v>
      </c>
      <c r="B63" s="67">
        <f>Data!B33</f>
        <v>6.1977241188287735E-2</v>
      </c>
      <c r="C63" s="67">
        <f>Data!BF33</f>
        <v>2.1999543961378976E-2</v>
      </c>
      <c r="D63" s="67">
        <f>Data!C33</f>
        <v>4.6448960900306702E-2</v>
      </c>
      <c r="E63" s="67">
        <f>Data!BG33</f>
        <v>1.944216694630431E-2</v>
      </c>
    </row>
    <row r="64" spans="1:5">
      <c r="A64">
        <v>1946</v>
      </c>
      <c r="B64" s="67">
        <f>Data!B34</f>
        <v>6.5709106624126434E-2</v>
      </c>
      <c r="C64" s="67">
        <f>Data!BF34</f>
        <v>2.8533879777129206E-2</v>
      </c>
      <c r="D64" s="67">
        <f>Data!C34</f>
        <v>4.7385025769472122E-2</v>
      </c>
      <c r="E64" s="67">
        <f>Data!BG34</f>
        <v>2.4071481512799892E-2</v>
      </c>
    </row>
    <row r="65" spans="1:7">
      <c r="A65">
        <v>1947</v>
      </c>
      <c r="B65" s="67">
        <f>Data!B35</f>
        <v>6.3488945364952087E-2</v>
      </c>
      <c r="C65" s="67">
        <f>Data!BF35</f>
        <v>2.306500232793322E-2</v>
      </c>
      <c r="D65" s="67">
        <f>Data!C35</f>
        <v>5.2854083478450775E-2</v>
      </c>
      <c r="E65" s="67">
        <f>Data!BG35</f>
        <v>2.356702126020065E-2</v>
      </c>
    </row>
    <row r="66" spans="1:7">
      <c r="A66">
        <v>1948</v>
      </c>
      <c r="B66" s="67">
        <f>Data!B36</f>
        <v>6.6408842802047729E-2</v>
      </c>
      <c r="C66" s="67">
        <f>Data!BF36</f>
        <v>2.2197668413803707E-2</v>
      </c>
      <c r="D66" s="67">
        <f>Data!C36</f>
        <v>4.326210543513298E-2</v>
      </c>
      <c r="E66" s="67">
        <f>Data!BG36</f>
        <v>1.7902262501109406E-2</v>
      </c>
    </row>
    <row r="67" spans="1:7">
      <c r="A67">
        <v>1949</v>
      </c>
      <c r="B67" s="67">
        <f>Data!B37</f>
        <v>5.8753158897161484E-2</v>
      </c>
      <c r="C67" s="67">
        <f>Data!BF37</f>
        <v>1.9868089569774577E-2</v>
      </c>
      <c r="D67" s="67">
        <f>Data!C37</f>
        <v>4.4382881373167038E-2</v>
      </c>
      <c r="E67" s="67">
        <f>Data!BG37</f>
        <v>1.8449244333277062E-2</v>
      </c>
    </row>
    <row r="68" spans="1:7">
      <c r="A68">
        <v>1950</v>
      </c>
      <c r="B68" s="67">
        <f>Data!B38</f>
        <v>5.7910304516553879E-2</v>
      </c>
      <c r="C68" s="67">
        <f>Data!BF38</f>
        <v>2.0211812527194666E-2</v>
      </c>
      <c r="D68" s="67">
        <f>Data!C38</f>
        <v>4.271409660577774E-2</v>
      </c>
      <c r="E68" s="67">
        <f>Data!BG38</f>
        <v>1.8154182949153608E-2</v>
      </c>
    </row>
    <row r="69" spans="1:7">
      <c r="A69">
        <v>1951</v>
      </c>
      <c r="B69" s="67"/>
      <c r="C69" s="67"/>
      <c r="D69" s="67"/>
      <c r="E69" s="67"/>
    </row>
    <row r="70" spans="1:7">
      <c r="A70">
        <v>1952</v>
      </c>
      <c r="B70" s="67">
        <f>Data!B40</f>
        <v>7.7547036111354828E-2</v>
      </c>
      <c r="C70" s="67">
        <f>Data!BF40</f>
        <v>2.3590241063239609E-2</v>
      </c>
      <c r="D70" s="67">
        <f>Data!C40</f>
        <v>5.4435480386018753E-2</v>
      </c>
      <c r="E70" s="67">
        <f>Data!BG40</f>
        <v>2.0607915616752945E-2</v>
      </c>
    </row>
    <row r="71" spans="1:7">
      <c r="A71">
        <v>1953</v>
      </c>
      <c r="B71" s="67">
        <f>Data!B41</f>
        <v>8.0044232308864594E-2</v>
      </c>
      <c r="C71" s="67">
        <f>Data!BF41</f>
        <v>2.3309646406710825E-2</v>
      </c>
      <c r="D71" s="67">
        <f>Data!C41</f>
        <v>5.7083625346422195E-2</v>
      </c>
      <c r="E71" s="67">
        <f>Data!BG41</f>
        <v>2.1293734436082574E-2</v>
      </c>
    </row>
    <row r="72" spans="1:7">
      <c r="A72">
        <v>1954</v>
      </c>
      <c r="B72" s="67">
        <f>Data!B42</f>
        <v>0.10765928775072098</v>
      </c>
      <c r="C72" s="67">
        <f>Data!BF42</f>
        <v>3.2670001931279648E-2</v>
      </c>
      <c r="D72" s="67">
        <f>Data!C42</f>
        <v>6.6292263567447662E-2</v>
      </c>
      <c r="E72" s="67">
        <f>Data!BG42</f>
        <v>2.5048761732300022E-2</v>
      </c>
    </row>
    <row r="73" spans="1:7">
      <c r="A73">
        <v>1955</v>
      </c>
      <c r="B73" s="67"/>
      <c r="C73" s="67"/>
      <c r="D73" s="67"/>
      <c r="E73" s="67"/>
    </row>
    <row r="74" spans="1:7">
      <c r="A74">
        <v>1956</v>
      </c>
      <c r="B74" s="67">
        <f>Data!B44</f>
        <v>0.12452054768800735</v>
      </c>
      <c r="C74" s="67">
        <f>Data!BF44</f>
        <v>3.4314850866706305E-2</v>
      </c>
      <c r="D74" s="67">
        <f>Data!C44</f>
        <v>7.5456604361534119E-2</v>
      </c>
      <c r="E74" s="67">
        <f>Data!BG44</f>
        <v>2.5979495969161371E-2</v>
      </c>
    </row>
    <row r="75" spans="1:7">
      <c r="A75">
        <v>1957</v>
      </c>
      <c r="B75" s="67"/>
      <c r="C75" s="67"/>
      <c r="D75" s="67"/>
      <c r="E75" s="67"/>
    </row>
    <row r="76" spans="1:7">
      <c r="A76">
        <v>1958</v>
      </c>
      <c r="B76" s="67">
        <f>Data!B46</f>
        <v>0.14411710202693939</v>
      </c>
      <c r="C76" s="67">
        <f>Data!BF46</f>
        <v>4.433842998158849E-2</v>
      </c>
      <c r="D76" s="67">
        <f>Data!C46</f>
        <v>8.3933621644973755E-2</v>
      </c>
      <c r="E76" s="67">
        <f>Data!BG46</f>
        <v>3.156263032808701E-2</v>
      </c>
    </row>
    <row r="77" spans="1:7">
      <c r="A77">
        <v>1959</v>
      </c>
      <c r="B77" s="67"/>
      <c r="C77" s="67"/>
      <c r="D77" s="67"/>
      <c r="E77" s="67"/>
    </row>
    <row r="78" spans="1:7">
      <c r="A78">
        <v>1960</v>
      </c>
      <c r="B78" s="67">
        <f>Data!B48</f>
        <v>0.18370258808135986</v>
      </c>
      <c r="C78" s="67">
        <f>Data!BF48</f>
        <v>4.1725490349618033E-2</v>
      </c>
      <c r="D78" s="67">
        <f>Data!C48</f>
        <v>8.6391858756542206E-2</v>
      </c>
      <c r="E78" s="67">
        <f>Data!BG48</f>
        <v>2.8419387424692105E-2</v>
      </c>
      <c r="G78" s="78"/>
    </row>
    <row r="79" spans="1:7">
      <c r="A79">
        <v>1961</v>
      </c>
      <c r="B79" s="67"/>
      <c r="C79" s="67"/>
      <c r="D79" s="67"/>
      <c r="E79" s="67"/>
      <c r="G79" s="78"/>
    </row>
    <row r="80" spans="1:7">
      <c r="A80">
        <v>1962</v>
      </c>
      <c r="B80" s="67">
        <f>Data!B50</f>
        <v>0.19173590838909149</v>
      </c>
      <c r="C80" s="67">
        <f>Data!BF50</f>
        <v>3.986715710484029E-2</v>
      </c>
      <c r="D80" s="67">
        <f>Data!C50</f>
        <v>9.4576247036457062E-2</v>
      </c>
      <c r="E80" s="67">
        <f>Data!BG50</f>
        <v>2.7511162441313085E-2</v>
      </c>
      <c r="G80" s="78"/>
    </row>
    <row r="81" spans="1:7">
      <c r="A81">
        <v>1963</v>
      </c>
      <c r="B81" s="67"/>
      <c r="C81" s="67"/>
      <c r="D81" s="67"/>
      <c r="E81" s="67"/>
      <c r="G81" s="78"/>
    </row>
    <row r="82" spans="1:7">
      <c r="A82">
        <v>1964</v>
      </c>
      <c r="B82" s="67">
        <f>Data!B52</f>
        <v>0.19323407113552094</v>
      </c>
      <c r="C82" s="67">
        <f>Data!BF52</f>
        <v>3.7480026206148293E-2</v>
      </c>
      <c r="D82" s="67">
        <f>Data!C52</f>
        <v>9.6557281911373138E-2</v>
      </c>
      <c r="E82" s="67">
        <f>Data!BG52</f>
        <v>2.6240824230307831E-2</v>
      </c>
      <c r="G82" s="78"/>
    </row>
    <row r="83" spans="1:7">
      <c r="A83">
        <v>1965</v>
      </c>
      <c r="B83" s="67"/>
      <c r="C83" s="67"/>
      <c r="D83" s="67"/>
      <c r="E83" s="67"/>
      <c r="G83" s="78"/>
    </row>
    <row r="84" spans="1:7">
      <c r="A84">
        <v>1966</v>
      </c>
      <c r="B84" s="67">
        <f>Data!B54</f>
        <v>0.16771937906742096</v>
      </c>
      <c r="C84" s="67">
        <f>Data!BF54</f>
        <v>3.5185497790277007E-2</v>
      </c>
      <c r="D84" s="67">
        <f>Data!C54</f>
        <v>8.5845321416854858E-2</v>
      </c>
      <c r="E84" s="67">
        <f>Data!BG54</f>
        <v>2.449785213428312E-2</v>
      </c>
      <c r="G84" s="78"/>
    </row>
    <row r="85" spans="1:7">
      <c r="A85">
        <v>1967</v>
      </c>
      <c r="B85" s="67"/>
      <c r="C85" s="67"/>
      <c r="D85" s="67"/>
      <c r="E85" s="67"/>
      <c r="G85" s="78"/>
    </row>
    <row r="86" spans="1:7">
      <c r="A86">
        <v>1968</v>
      </c>
      <c r="B86" s="67">
        <f>Data!B56</f>
        <v>0.19195100665092468</v>
      </c>
      <c r="C86" s="67">
        <f>Data!BF56</f>
        <v>4.1172658171999846E-2</v>
      </c>
      <c r="D86" s="67">
        <f>Data!C56</f>
        <v>9.91983562707901E-2</v>
      </c>
      <c r="E86" s="67">
        <f>Data!BG56</f>
        <v>3.0840399861216228E-2</v>
      </c>
      <c r="G86" s="78"/>
    </row>
    <row r="87" spans="1:7">
      <c r="A87">
        <v>1969</v>
      </c>
      <c r="B87" s="67"/>
      <c r="C87" s="67"/>
      <c r="D87" s="67"/>
      <c r="E87" s="67"/>
      <c r="G87" s="78"/>
    </row>
    <row r="88" spans="1:7">
      <c r="A88">
        <v>1970</v>
      </c>
      <c r="B88" s="67">
        <f>Data!B58</f>
        <v>0.15182901918888092</v>
      </c>
      <c r="C88" s="67">
        <f>Data!BF58</f>
        <v>3.6238996830626341E-2</v>
      </c>
      <c r="D88" s="67">
        <f>Data!C58</f>
        <v>8.0435954034328461E-2</v>
      </c>
      <c r="E88" s="67">
        <f>Data!BG58</f>
        <v>2.6509448035380412E-2</v>
      </c>
      <c r="G88" s="78"/>
    </row>
    <row r="89" spans="1:7">
      <c r="A89">
        <v>1971</v>
      </c>
      <c r="B89" s="67"/>
      <c r="C89" s="67"/>
      <c r="D89" s="67"/>
      <c r="E89" s="67"/>
      <c r="G89" s="78"/>
    </row>
    <row r="90" spans="1:7">
      <c r="A90">
        <v>1972</v>
      </c>
      <c r="B90" s="67">
        <f>Data!B60</f>
        <v>0.14235158264636993</v>
      </c>
      <c r="C90" s="67">
        <f>Data!BF60</f>
        <v>3.7305072508115433E-2</v>
      </c>
      <c r="D90" s="67">
        <f>Data!C60</f>
        <v>7.9447925090789795E-2</v>
      </c>
      <c r="E90" s="67">
        <f>Data!BG60</f>
        <v>2.8041669152557312E-2</v>
      </c>
      <c r="G90" s="78"/>
    </row>
    <row r="91" spans="1:7">
      <c r="A91">
        <v>1973</v>
      </c>
      <c r="B91" s="67">
        <f>Data!B61</f>
        <v>0.1126420646905899</v>
      </c>
      <c r="C91" s="67">
        <f>Data!BF61</f>
        <v>3.0583616345937648E-2</v>
      </c>
      <c r="D91" s="67">
        <f>Data!C61</f>
        <v>6.695874035358429E-2</v>
      </c>
      <c r="E91" s="67">
        <f>Data!BG61</f>
        <v>2.3575811984120409E-2</v>
      </c>
      <c r="G91" s="78"/>
    </row>
    <row r="92" spans="1:7">
      <c r="A92">
        <v>1974</v>
      </c>
      <c r="B92" s="67">
        <f>Data!B62</f>
        <v>0.10186830908060074</v>
      </c>
      <c r="C92" s="67">
        <f>Data!BF62</f>
        <v>3.113819156567502E-2</v>
      </c>
      <c r="D92" s="67">
        <f>Data!C62</f>
        <v>6.1587277799844742E-2</v>
      </c>
      <c r="E92" s="67">
        <f>Data!BG62</f>
        <v>2.4216842290901049E-2</v>
      </c>
      <c r="G92" s="78"/>
    </row>
    <row r="93" spans="1:7">
      <c r="A93">
        <v>1975</v>
      </c>
      <c r="B93" s="67">
        <f>Data!B63</f>
        <v>0.11073751002550125</v>
      </c>
      <c r="C93" s="67">
        <f>Data!BF63</f>
        <v>3.165280333783918E-2</v>
      </c>
      <c r="D93" s="67">
        <f>Data!C63</f>
        <v>6.5777711570262909E-2</v>
      </c>
      <c r="E93" s="67">
        <f>Data!BG63</f>
        <v>2.3790431421269714E-2</v>
      </c>
      <c r="G93" s="78"/>
    </row>
    <row r="94" spans="1:7">
      <c r="A94">
        <v>1976</v>
      </c>
      <c r="B94" s="67">
        <f>Data!B64</f>
        <v>0.11032526195049286</v>
      </c>
      <c r="C94" s="67">
        <f>Data!BF64</f>
        <v>3.2684392664484592E-2</v>
      </c>
      <c r="D94" s="67">
        <f>Data!C64</f>
        <v>6.7635558545589447E-2</v>
      </c>
      <c r="E94" s="67">
        <f>Data!BG64</f>
        <v>2.495167082151737E-2</v>
      </c>
      <c r="G94" s="78"/>
    </row>
    <row r="95" spans="1:7">
      <c r="A95">
        <v>1977</v>
      </c>
      <c r="B95" s="67">
        <f>Data!B65</f>
        <v>0.11107464879751205</v>
      </c>
      <c r="C95" s="67">
        <f>Data!BF65</f>
        <v>3.1699333851419473E-2</v>
      </c>
      <c r="D95" s="67">
        <f>Data!C65</f>
        <v>6.8443074822425842E-2</v>
      </c>
      <c r="E95" s="67">
        <f>Data!BG65</f>
        <v>2.4475947822326833E-2</v>
      </c>
      <c r="G95" s="78"/>
    </row>
    <row r="96" spans="1:7">
      <c r="A96">
        <v>1978</v>
      </c>
      <c r="B96" s="67">
        <f>Data!B66</f>
        <v>0.10067892819643021</v>
      </c>
      <c r="C96" s="67">
        <f>Data!BF66</f>
        <v>2.7743782057893462E-2</v>
      </c>
      <c r="D96" s="67">
        <f>Data!C66</f>
        <v>6.4096242189407349E-2</v>
      </c>
      <c r="E96" s="67">
        <f>Data!BG66</f>
        <v>2.2540785776648649E-2</v>
      </c>
      <c r="G96" s="78"/>
    </row>
    <row r="97" spans="1:7">
      <c r="A97">
        <v>1979</v>
      </c>
      <c r="B97" s="67">
        <f>Data!B67</f>
        <v>0.11787800490856171</v>
      </c>
      <c r="C97" s="67">
        <f>Data!BF67</f>
        <v>2.7761799847335344E-2</v>
      </c>
      <c r="D97" s="67">
        <f>Data!C67</f>
        <v>7.5463555753231049E-2</v>
      </c>
      <c r="E97" s="67">
        <f>Data!BG67</f>
        <v>2.3262059986059899E-2</v>
      </c>
      <c r="G97" s="78"/>
    </row>
    <row r="98" spans="1:7">
      <c r="A98">
        <v>1980</v>
      </c>
      <c r="B98" s="67">
        <f>Data!B68</f>
        <v>0.10876652598381042</v>
      </c>
      <c r="C98" s="67">
        <f>Data!BF68</f>
        <v>3.3241894779553173E-2</v>
      </c>
      <c r="D98" s="67">
        <f>Data!C68</f>
        <v>7.1899525821208954E-2</v>
      </c>
      <c r="E98" s="67">
        <f>Data!BG68</f>
        <v>2.6092749444358531E-2</v>
      </c>
      <c r="G98" s="78"/>
    </row>
    <row r="99" spans="1:7">
      <c r="A99">
        <v>1981</v>
      </c>
      <c r="B99" s="67">
        <f>Data!B69</f>
        <v>0.12870089709758759</v>
      </c>
      <c r="C99" s="67">
        <f>Data!BF69</f>
        <v>3.1280497605217436E-2</v>
      </c>
      <c r="D99" s="67">
        <f>Data!C69</f>
        <v>8.0451257526874542E-2</v>
      </c>
      <c r="E99" s="67">
        <f>Data!BG69</f>
        <v>2.5247772222483665E-2</v>
      </c>
      <c r="G99" s="78"/>
    </row>
    <row r="100" spans="1:7">
      <c r="A100">
        <v>1982</v>
      </c>
      <c r="B100" s="67">
        <f>Data!B70</f>
        <v>8.4223732352256775E-2</v>
      </c>
      <c r="C100" s="67">
        <f>Data!BF70</f>
        <v>2.6580982555566159E-2</v>
      </c>
      <c r="D100" s="67">
        <f>Data!C70</f>
        <v>5.9816155582666397E-2</v>
      </c>
      <c r="E100" s="67">
        <f>Data!BG70</f>
        <v>2.2148412156802039E-2</v>
      </c>
      <c r="G100" s="78"/>
    </row>
    <row r="101" spans="1:7">
      <c r="A101">
        <v>1983</v>
      </c>
      <c r="B101" s="67">
        <f>Data!B71</f>
        <v>7.9008191823959351E-2</v>
      </c>
      <c r="C101" s="67">
        <f>Data!BF71</f>
        <v>2.6361038497102748E-2</v>
      </c>
      <c r="D101" s="67">
        <f>Data!C71</f>
        <v>6.622517853975296E-2</v>
      </c>
      <c r="E101" s="67">
        <f>Data!BG71</f>
        <v>2.3331010821818023E-2</v>
      </c>
      <c r="G101" s="78"/>
    </row>
    <row r="102" spans="1:7">
      <c r="A102">
        <v>1984</v>
      </c>
      <c r="B102" s="67">
        <f>Data!B72</f>
        <v>8.1439316272735596E-2</v>
      </c>
      <c r="C102" s="67">
        <f>Data!BF72</f>
        <v>2.5046679999413256E-2</v>
      </c>
      <c r="D102" s="67">
        <f>Data!C72</f>
        <v>5.7889837771654129E-2</v>
      </c>
      <c r="E102" s="67">
        <f>Data!BG72</f>
        <v>2.036116894112976E-2</v>
      </c>
      <c r="G102" s="78"/>
    </row>
    <row r="103" spans="1:7">
      <c r="A103">
        <v>1985</v>
      </c>
      <c r="B103" s="67">
        <f>Data!B73</f>
        <v>7.8300096094608307E-2</v>
      </c>
      <c r="C103" s="67">
        <f>Data!BF73</f>
        <v>2.8929969459164307E-2</v>
      </c>
      <c r="D103" s="67">
        <f>Data!C73</f>
        <v>6.9753624498844147E-2</v>
      </c>
      <c r="E103" s="67">
        <f>Data!BG73</f>
        <v>2.6578632620525448E-2</v>
      </c>
      <c r="G103" s="78"/>
    </row>
    <row r="104" spans="1:7">
      <c r="A104">
        <v>1986</v>
      </c>
      <c r="B104" s="67">
        <f>Data!B74</f>
        <v>0.10092118382453918</v>
      </c>
      <c r="C104" s="67">
        <f>Data!BF74</f>
        <v>4.3438577067789169E-2</v>
      </c>
      <c r="D104" s="67">
        <f>Data!C74</f>
        <v>7.5141042470932007E-2</v>
      </c>
      <c r="E104" s="67">
        <f>Data!BG74</f>
        <v>3.2459699445464389E-2</v>
      </c>
      <c r="G104" s="78"/>
    </row>
    <row r="105" spans="1:7">
      <c r="A105">
        <v>1987</v>
      </c>
      <c r="B105" s="67">
        <f>Data!B75</f>
        <v>4.7316454350948334E-2</v>
      </c>
      <c r="C105" s="67">
        <f>Data!BF75</f>
        <v>2.456279452625432E-2</v>
      </c>
      <c r="D105" s="67">
        <f>Data!C75</f>
        <v>3.7539046257734299E-2</v>
      </c>
      <c r="E105" s="67">
        <f>Data!BG75</f>
        <v>1.9749337678913185E-2</v>
      </c>
      <c r="G105" s="78"/>
    </row>
    <row r="106" spans="1:7">
      <c r="A106">
        <v>1988</v>
      </c>
      <c r="B106" s="67">
        <f>Data!B76</f>
        <v>4.424922913312912E-2</v>
      </c>
      <c r="C106" s="67">
        <f>Data!BF76</f>
        <v>2.0902803738423504E-2</v>
      </c>
      <c r="D106" s="67">
        <f>Data!C76</f>
        <v>3.3198237419128418E-2</v>
      </c>
      <c r="E106" s="67">
        <f>Data!BG76</f>
        <v>1.7438968307508611E-2</v>
      </c>
      <c r="G106" s="78"/>
    </row>
    <row r="107" spans="1:7">
      <c r="A107">
        <v>1989</v>
      </c>
      <c r="B107" s="67">
        <f>Data!B77</f>
        <v>4.2416885495185852E-2</v>
      </c>
      <c r="C107" s="67">
        <f>Data!BF77</f>
        <v>2.3572381668701774E-2</v>
      </c>
      <c r="D107" s="67">
        <f>Data!C77</f>
        <v>3.5197064280509949E-2</v>
      </c>
      <c r="E107" s="67">
        <f>Data!BG77</f>
        <v>1.9673014490935559E-2</v>
      </c>
      <c r="G107" s="78"/>
    </row>
    <row r="108" spans="1:7">
      <c r="A108">
        <v>1990</v>
      </c>
      <c r="B108" s="67">
        <f>Data!B78</f>
        <v>4.0312815457582474E-2</v>
      </c>
      <c r="C108" s="67">
        <f>Data!BF78</f>
        <v>2.3678513833802421E-2</v>
      </c>
      <c r="D108" s="67">
        <f>Data!C78</f>
        <v>3.2312080264091492E-2</v>
      </c>
      <c r="E108" s="67">
        <f>Data!BG78</f>
        <v>1.871123049989358E-2</v>
      </c>
      <c r="G108" s="78"/>
    </row>
    <row r="109" spans="1:7">
      <c r="A109">
        <v>1991</v>
      </c>
      <c r="B109" s="67">
        <f>Data!B79</f>
        <v>7.1500591933727264E-2</v>
      </c>
      <c r="C109" s="67">
        <f>Data!BF79</f>
        <v>2.3773604421644747E-2</v>
      </c>
      <c r="D109" s="67">
        <f>Data!C79</f>
        <v>4.6827960759401321E-2</v>
      </c>
      <c r="E109" s="67">
        <f>Data!BG79</f>
        <v>1.9857074092465461E-2</v>
      </c>
      <c r="G109" s="78"/>
    </row>
    <row r="110" spans="1:7">
      <c r="A110">
        <v>1992</v>
      </c>
      <c r="B110" s="67">
        <f>Data!B80</f>
        <v>3.5154171288013458E-2</v>
      </c>
      <c r="C110" s="67">
        <f>Data!BF80</f>
        <v>1.9120444029501252E-2</v>
      </c>
      <c r="D110" s="67">
        <f>Data!C80</f>
        <v>3.0727021396160126E-2</v>
      </c>
      <c r="E110" s="67">
        <f>Data!BG80</f>
        <v>1.674880049354183E-2</v>
      </c>
      <c r="G110" s="78"/>
    </row>
    <row r="111" spans="1:7">
      <c r="A111">
        <v>1993</v>
      </c>
      <c r="B111" s="67">
        <f>Data!B81</f>
        <v>5.1010515540838242E-2</v>
      </c>
      <c r="C111" s="67">
        <f>Data!BF81</f>
        <v>2.4683776502682466E-2</v>
      </c>
      <c r="D111" s="67">
        <f>Data!C81</f>
        <v>4.1154626756906509E-2</v>
      </c>
      <c r="E111" s="67">
        <f>Data!BG81</f>
        <v>2.1273562614635932E-2</v>
      </c>
      <c r="G111" s="78"/>
    </row>
    <row r="112" spans="1:7">
      <c r="A112">
        <v>1994</v>
      </c>
      <c r="B112" s="67">
        <f>Data!B82</f>
        <v>5.7579375803470612E-2</v>
      </c>
      <c r="C112" s="67">
        <f>Data!BF82</f>
        <v>2.599641507492479E-2</v>
      </c>
      <c r="D112" s="67">
        <f>Data!C82</f>
        <v>4.5033946633338928E-2</v>
      </c>
      <c r="E112" s="67">
        <f>Data!BG82</f>
        <v>2.1997094844346927E-2</v>
      </c>
      <c r="G112" s="78"/>
    </row>
    <row r="113" spans="1:7">
      <c r="A113">
        <v>1995</v>
      </c>
      <c r="B113" s="67">
        <f>Data!B83</f>
        <v>4.7401860356330872E-2</v>
      </c>
      <c r="C113" s="67">
        <f>Data!BF83</f>
        <v>2.4244792770913372E-2</v>
      </c>
      <c r="D113" s="67">
        <f>Data!C83</f>
        <v>3.8413349539041519E-2</v>
      </c>
      <c r="E113" s="67">
        <f>Data!BG83</f>
        <v>2.1031733267648556E-2</v>
      </c>
      <c r="G113" s="78"/>
    </row>
    <row r="114" spans="1:7">
      <c r="A114">
        <v>1996</v>
      </c>
      <c r="B114" s="67">
        <f>Data!B84</f>
        <v>6.4663425087928772E-2</v>
      </c>
      <c r="C114" s="67">
        <f>Data!BF84</f>
        <v>3.2094670735144951E-2</v>
      </c>
      <c r="D114" s="67">
        <f>Data!C84</f>
        <v>4.913034662604332E-2</v>
      </c>
      <c r="E114" s="67">
        <f>Data!BG84</f>
        <v>2.5816271109906256E-2</v>
      </c>
      <c r="G114" s="78"/>
    </row>
    <row r="115" spans="1:7">
      <c r="A115">
        <v>1997</v>
      </c>
      <c r="B115" s="67">
        <f>Data!B85</f>
        <v>7.444530725479126E-2</v>
      </c>
      <c r="C115" s="67">
        <f>Data!BF85</f>
        <v>3.7158876078655242E-2</v>
      </c>
      <c r="D115" s="67">
        <f>Data!C85</f>
        <v>5.7321712374687195E-2</v>
      </c>
      <c r="E115" s="67">
        <f>Data!BG85</f>
        <v>2.890516432105673E-2</v>
      </c>
      <c r="G115" s="78"/>
    </row>
    <row r="116" spans="1:7">
      <c r="A116">
        <v>1998</v>
      </c>
      <c r="B116" s="67">
        <f>Data!B86</f>
        <v>6.5787836909294128E-2</v>
      </c>
      <c r="C116" s="67">
        <f>Data!BF86</f>
        <v>3.5228565378615954E-2</v>
      </c>
      <c r="D116" s="67">
        <f>Data!C86</f>
        <v>5.1965672522783279E-2</v>
      </c>
      <c r="E116" s="67">
        <f>Data!BG86</f>
        <v>2.8531176311073127E-2</v>
      </c>
      <c r="G116" s="78"/>
    </row>
    <row r="117" spans="1:7">
      <c r="A117">
        <v>1999</v>
      </c>
      <c r="B117" s="67">
        <f>Data!B87</f>
        <v>6.2063165009021759E-2</v>
      </c>
      <c r="C117" s="67">
        <f>Data!BF87</f>
        <v>3.9953556435410882E-2</v>
      </c>
      <c r="D117" s="67">
        <f>Data!C87</f>
        <v>5.1538269966840744E-2</v>
      </c>
      <c r="E117" s="67">
        <f>Data!BG87</f>
        <v>3.1640181936290132E-2</v>
      </c>
      <c r="G117" s="78"/>
    </row>
    <row r="118" spans="1:7">
      <c r="A118">
        <v>2000</v>
      </c>
      <c r="B118" s="67">
        <f>Data!B88</f>
        <v>6.1263587325811386E-2</v>
      </c>
      <c r="C118" s="67">
        <f>Data!BF88</f>
        <v>4.1947793588467487E-2</v>
      </c>
      <c r="D118" s="67">
        <f>Data!C88</f>
        <v>5.3797226399183273E-2</v>
      </c>
      <c r="E118" s="67">
        <f>Data!BG88</f>
        <v>3.2840647325921533E-2</v>
      </c>
      <c r="G118" s="78"/>
    </row>
    <row r="119" spans="1:7">
      <c r="A119">
        <v>2001</v>
      </c>
      <c r="B119" s="67">
        <f>Data!B89</f>
        <v>5.8879591524600983E-2</v>
      </c>
      <c r="C119" s="67">
        <f>Data!BF89</f>
        <v>3.7985963262990571E-2</v>
      </c>
      <c r="D119" s="67">
        <f>Data!C89</f>
        <v>4.8725444823503494E-2</v>
      </c>
      <c r="E119" s="67">
        <f>Data!BG89</f>
        <v>2.8528305316155855E-2</v>
      </c>
      <c r="G119" s="78"/>
    </row>
    <row r="120" spans="1:7">
      <c r="A120">
        <v>2002</v>
      </c>
      <c r="B120" s="67">
        <f>Data!B90</f>
        <v>7.2522386908531189E-2</v>
      </c>
      <c r="C120" s="67">
        <f>Data!BF90</f>
        <v>3.1541232162729832E-2</v>
      </c>
      <c r="D120" s="67">
        <f>Data!C90</f>
        <v>5.1495131105184555E-2</v>
      </c>
      <c r="E120" s="67">
        <f>Data!BG90</f>
        <v>2.4790887636535187E-2</v>
      </c>
      <c r="G120" s="78"/>
    </row>
    <row r="121" spans="1:7">
      <c r="A121">
        <v>2003</v>
      </c>
      <c r="B121" s="67">
        <f>Data!B91</f>
        <v>6.6449202597141266E-2</v>
      </c>
      <c r="C121" s="67">
        <f>Data!BF91</f>
        <v>3.2997928249502137E-2</v>
      </c>
      <c r="D121" s="67">
        <f>Data!C91</f>
        <v>5.2631709724664688E-2</v>
      </c>
      <c r="E121" s="67">
        <f>Data!BG91</f>
        <v>2.5954375245682053E-2</v>
      </c>
      <c r="G121" s="78"/>
    </row>
    <row r="122" spans="1:7">
      <c r="A122">
        <v>2004</v>
      </c>
      <c r="B122" s="67">
        <f>Data!B92</f>
        <v>6.486356258392334E-2</v>
      </c>
      <c r="C122" s="67">
        <f>Data!BF92</f>
        <v>3.9038237245964322E-2</v>
      </c>
      <c r="D122" s="67">
        <f>Data!C92</f>
        <v>5.3260460495948792E-2</v>
      </c>
      <c r="E122" s="67">
        <f>Data!BG92</f>
        <v>2.967138941752314E-2</v>
      </c>
      <c r="G122" s="78"/>
    </row>
    <row r="123" spans="1:7">
      <c r="A123">
        <v>2005</v>
      </c>
      <c r="B123" s="67">
        <f>Data!B93</f>
        <v>6.5639585256576538E-2</v>
      </c>
      <c r="C123" s="67">
        <f>Data!BF93</f>
        <v>4.0501197344552702E-2</v>
      </c>
      <c r="D123" s="67">
        <f>Data!C93</f>
        <v>5.7614456862211227E-2</v>
      </c>
      <c r="E123" s="67">
        <f>Data!BG93</f>
        <v>3.2374635280475371E-2</v>
      </c>
      <c r="G123" s="78"/>
    </row>
    <row r="124" spans="1:7">
      <c r="A124">
        <v>2006</v>
      </c>
      <c r="B124" s="67">
        <f>Data!B94</f>
        <v>7.6668843626976013E-2</v>
      </c>
      <c r="C124" s="67">
        <f>Data!BF94</f>
        <v>4.1074573452825953E-2</v>
      </c>
      <c r="D124" s="67">
        <f>Data!C94</f>
        <v>5.5961411446332932E-2</v>
      </c>
      <c r="E124" s="67">
        <f>Data!BG94</f>
        <v>3.0582579084181508E-2</v>
      </c>
      <c r="G124" s="78"/>
    </row>
    <row r="125" spans="1:7">
      <c r="A125">
        <v>2007</v>
      </c>
      <c r="B125" s="67">
        <f>Data!B95</f>
        <v>4.8019655048847198E-2</v>
      </c>
      <c r="C125" s="67">
        <f>Data!BF95</f>
        <v>4.5338684182718414E-2</v>
      </c>
      <c r="D125" s="67">
        <f>Data!C95</f>
        <v>4.6173892915248871E-2</v>
      </c>
      <c r="E125" s="67">
        <f>Data!BG95</f>
        <v>3.4100048701327983E-2</v>
      </c>
      <c r="G125" s="78"/>
    </row>
    <row r="126" spans="1:7">
      <c r="A126">
        <v>2008</v>
      </c>
      <c r="B126" s="67">
        <f>Data!B96</f>
        <v>5.7341277599334717E-2</v>
      </c>
      <c r="C126" s="67">
        <f>Data!BF96</f>
        <v>3.2608420468043804E-2</v>
      </c>
      <c r="D126" s="67">
        <f>Data!C96</f>
        <v>4.6213582158088684E-2</v>
      </c>
      <c r="E126" s="67">
        <f>Data!BG96</f>
        <v>2.5575428278428972E-2</v>
      </c>
      <c r="G126" s="78"/>
    </row>
    <row r="127" spans="1:7">
      <c r="A127">
        <v>2009</v>
      </c>
      <c r="B127" s="67">
        <f>Data!B97</f>
        <v>9.3117699027061462E-2</v>
      </c>
      <c r="C127" s="67">
        <f>Data!BF97</f>
        <v>2.5337156303296447E-2</v>
      </c>
      <c r="D127" s="67">
        <f>Data!C97</f>
        <v>5.9104848653078079E-2</v>
      </c>
      <c r="E127" s="67">
        <f>Data!BG97</f>
        <v>2.1408476452096415E-2</v>
      </c>
      <c r="G127" s="78"/>
    </row>
    <row r="128" spans="1:7">
      <c r="A128">
        <v>2010</v>
      </c>
      <c r="B128" s="67">
        <f>Data!B98</f>
        <v>8.8891275227069855E-2</v>
      </c>
      <c r="C128" s="67">
        <f>Data!BF98</f>
        <v>2.6802615573886343E-2</v>
      </c>
      <c r="D128" s="67">
        <f>Data!C98</f>
        <v>5.9766091406345367E-2</v>
      </c>
      <c r="E128" s="67">
        <f>Data!BG98</f>
        <v>2.2727594029702251E-2</v>
      </c>
      <c r="G128" s="78"/>
    </row>
    <row r="129" spans="1:7">
      <c r="A129">
        <v>2011</v>
      </c>
      <c r="B129" s="67">
        <f>Data!B99</f>
        <v>9.4633206725120544E-2</v>
      </c>
      <c r="C129" s="67">
        <f>Data!BF99</f>
        <v>2.8925164527472746E-2</v>
      </c>
      <c r="D129" s="67">
        <f>Data!C99</f>
        <v>6.4086958765983582E-2</v>
      </c>
      <c r="E129" s="67">
        <f>Data!BG99</f>
        <v>2.2886516724966208E-2</v>
      </c>
      <c r="G129" s="78"/>
    </row>
    <row r="130" spans="1:7">
      <c r="A130">
        <v>2012</v>
      </c>
      <c r="B130" s="67">
        <f>Data!B100</f>
        <v>5.8285310864448547E-2</v>
      </c>
      <c r="C130" s="67">
        <f>Data!BF100</f>
        <v>4.3738373462495532E-2</v>
      </c>
      <c r="D130" s="67">
        <f>Data!C100</f>
        <v>4.5815076678991318E-2</v>
      </c>
      <c r="E130" s="67">
        <f>Data!BG100</f>
        <v>3.1872561768351321E-2</v>
      </c>
      <c r="G130" s="78"/>
    </row>
    <row r="131" spans="1:7">
      <c r="A131">
        <v>2013</v>
      </c>
      <c r="B131" s="67"/>
      <c r="C131" s="67">
        <f>Data!BF101</f>
        <v>3.9260713571173569E-2</v>
      </c>
      <c r="D131" s="67"/>
      <c r="E131" s="67">
        <f>Data!BG101</f>
        <v>2.9267267228611196E-2</v>
      </c>
      <c r="G131" s="78"/>
    </row>
    <row r="132" spans="1:7">
      <c r="A132">
        <v>2014</v>
      </c>
      <c r="B132" s="67"/>
      <c r="C132" s="67">
        <f>Data!BF102</f>
        <v>4.0350072408668447E-2</v>
      </c>
      <c r="D132" s="67"/>
      <c r="E132" s="67">
        <f>Data!BG102</f>
        <v>3.0514589424520913E-2</v>
      </c>
      <c r="G132" s="78"/>
    </row>
    <row r="133" spans="1:7">
      <c r="A133">
        <v>2015</v>
      </c>
      <c r="B133" s="67"/>
      <c r="C133" s="67"/>
      <c r="D133" s="67"/>
      <c r="E133" s="67"/>
      <c r="G133" s="78"/>
    </row>
    <row r="134" spans="1:7">
      <c r="A134">
        <v>2016</v>
      </c>
      <c r="B134" s="67"/>
      <c r="C134" s="67"/>
      <c r="D134" s="67"/>
      <c r="E134" s="67"/>
      <c r="G134" s="78"/>
    </row>
    <row r="135" spans="1:7">
      <c r="A135">
        <v>2017</v>
      </c>
    </row>
    <row r="136" spans="1:7">
      <c r="A136">
        <v>2018</v>
      </c>
    </row>
    <row r="137" spans="1:7">
      <c r="A137">
        <v>2019</v>
      </c>
    </row>
    <row r="138" spans="1:7">
      <c r="A138">
        <v>2020</v>
      </c>
    </row>
  </sheetData>
  <mergeCells count="5">
    <mergeCell ref="B33:C33"/>
    <mergeCell ref="D33:E33"/>
    <mergeCell ref="B32:E32"/>
    <mergeCell ref="A27:L27"/>
    <mergeCell ref="A28:L28"/>
  </mergeCells>
  <hyperlinks>
    <hyperlink ref="J1" location="Index!A1" display="index"/>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7"/>
  <sheetViews>
    <sheetView topLeftCell="A25" workbookViewId="0">
      <selection activeCell="B47" sqref="B47:C47"/>
    </sheetView>
  </sheetViews>
  <sheetFormatPr defaultRowHeight="14.4"/>
  <cols>
    <col min="3" max="3" width="10" customWidth="1"/>
    <col min="5" max="5" width="10.5546875" customWidth="1"/>
  </cols>
  <sheetData>
    <row r="1" spans="1:10" ht="15.6">
      <c r="A1" s="97" t="s">
        <v>135</v>
      </c>
      <c r="J1" s="99" t="s">
        <v>143</v>
      </c>
    </row>
    <row r="29" spans="1:12" ht="30.75" customHeight="1">
      <c r="A29" s="117" t="s">
        <v>136</v>
      </c>
      <c r="B29" s="117"/>
      <c r="C29" s="117"/>
      <c r="D29" s="117"/>
      <c r="E29" s="117"/>
      <c r="F29" s="117"/>
      <c r="G29" s="117"/>
      <c r="H29" s="117"/>
      <c r="I29" s="117"/>
      <c r="J29" s="117"/>
      <c r="K29" s="117"/>
      <c r="L29" s="117"/>
    </row>
    <row r="30" spans="1:12" ht="30.75" customHeight="1">
      <c r="A30" s="117" t="s">
        <v>137</v>
      </c>
      <c r="B30" s="117"/>
      <c r="C30" s="117"/>
      <c r="D30" s="117"/>
      <c r="E30" s="117"/>
      <c r="F30" s="117"/>
      <c r="G30" s="117"/>
      <c r="H30" s="117"/>
      <c r="I30" s="117"/>
      <c r="J30" s="117"/>
      <c r="K30" s="117"/>
      <c r="L30" s="117"/>
    </row>
    <row r="32" spans="1:12">
      <c r="A32" s="31"/>
    </row>
    <row r="34" spans="1:5">
      <c r="B34" s="118" t="s">
        <v>54</v>
      </c>
      <c r="C34" s="118"/>
      <c r="D34" s="118"/>
      <c r="E34" s="118"/>
    </row>
    <row r="35" spans="1:5">
      <c r="B35" s="118" t="s">
        <v>2</v>
      </c>
      <c r="C35" s="118"/>
      <c r="D35" s="118" t="s">
        <v>1</v>
      </c>
      <c r="E35" s="118"/>
    </row>
    <row r="36" spans="1:5">
      <c r="B36" s="61" t="s">
        <v>55</v>
      </c>
      <c r="C36" s="61" t="s">
        <v>58</v>
      </c>
      <c r="D36" s="61" t="s">
        <v>55</v>
      </c>
      <c r="E36" s="61" t="s">
        <v>58</v>
      </c>
    </row>
    <row r="37" spans="1:5">
      <c r="A37">
        <v>1960</v>
      </c>
      <c r="B37" s="53">
        <f>Data!B48</f>
        <v>0.18370258808135986</v>
      </c>
      <c r="C37" s="53">
        <f>Data!AP48</f>
        <v>4.3927828069055E-2</v>
      </c>
      <c r="D37" s="53">
        <f>Data!C48</f>
        <v>8.6391858756542206E-2</v>
      </c>
      <c r="E37" s="53">
        <f>Data!AQ48</f>
        <v>2.9031935689981025E-2</v>
      </c>
    </row>
    <row r="38" spans="1:5">
      <c r="A38">
        <v>1961</v>
      </c>
      <c r="B38" s="53"/>
      <c r="C38" s="53"/>
      <c r="D38" s="53"/>
      <c r="E38" s="53"/>
    </row>
    <row r="39" spans="1:5">
      <c r="A39">
        <v>1962</v>
      </c>
      <c r="B39" s="53">
        <f>Data!B50</f>
        <v>0.19173590838909149</v>
      </c>
      <c r="C39" s="53">
        <f>Data!AP50</f>
        <v>3.9854411789082791E-2</v>
      </c>
      <c r="D39" s="53">
        <f>Data!C50</f>
        <v>9.4576247036457062E-2</v>
      </c>
      <c r="E39" s="53">
        <f>Data!AQ50</f>
        <v>2.9247812761671051E-2</v>
      </c>
    </row>
    <row r="40" spans="1:5">
      <c r="A40">
        <v>1963</v>
      </c>
      <c r="B40" s="53"/>
      <c r="C40" s="53"/>
      <c r="D40" s="53"/>
      <c r="E40" s="53"/>
    </row>
    <row r="41" spans="1:5">
      <c r="A41">
        <v>1964</v>
      </c>
      <c r="B41" s="53">
        <f>Data!B52</f>
        <v>0.19323407113552094</v>
      </c>
      <c r="C41" s="53">
        <f>Data!AP52</f>
        <v>4.1853132840573161E-2</v>
      </c>
      <c r="D41" s="53">
        <f>Data!C52</f>
        <v>9.6557281911373138E-2</v>
      </c>
      <c r="E41" s="53">
        <f>Data!AQ52</f>
        <v>2.8729002179102122E-2</v>
      </c>
    </row>
    <row r="42" spans="1:5">
      <c r="A42">
        <v>1965</v>
      </c>
      <c r="B42" s="53"/>
      <c r="C42" s="53"/>
      <c r="D42" s="53"/>
      <c r="E42" s="53"/>
    </row>
    <row r="43" spans="1:5">
      <c r="A43">
        <v>1966</v>
      </c>
      <c r="B43" s="53">
        <f>Data!B54</f>
        <v>0.16771937906742096</v>
      </c>
      <c r="C43" s="53">
        <f>Data!AP54</f>
        <v>3.8458435008228403E-2</v>
      </c>
      <c r="D43" s="53">
        <f>Data!C54</f>
        <v>8.5845321416854858E-2</v>
      </c>
      <c r="E43" s="53">
        <f>Data!AQ54</f>
        <v>2.6770020477460774E-2</v>
      </c>
    </row>
    <row r="44" spans="1:5">
      <c r="A44">
        <v>1967</v>
      </c>
      <c r="B44" s="53"/>
      <c r="C44" s="53"/>
      <c r="D44" s="53"/>
      <c r="E44" s="53"/>
    </row>
    <row r="45" spans="1:5">
      <c r="A45">
        <v>1968</v>
      </c>
      <c r="B45" s="53">
        <f>Data!B56</f>
        <v>0.19195100665092468</v>
      </c>
      <c r="C45" s="53">
        <f>Data!AP56</f>
        <v>4.6965503157363642E-2</v>
      </c>
      <c r="D45" s="53">
        <f>Data!C56</f>
        <v>9.91983562707901E-2</v>
      </c>
      <c r="E45" s="53">
        <f>Data!AQ56</f>
        <v>3.3242221458624599E-2</v>
      </c>
    </row>
    <row r="46" spans="1:5">
      <c r="A46">
        <v>1969</v>
      </c>
      <c r="B46" s="53"/>
      <c r="C46" s="53"/>
      <c r="D46" s="53"/>
      <c r="E46" s="53"/>
    </row>
    <row r="47" spans="1:5">
      <c r="A47">
        <v>1970</v>
      </c>
      <c r="B47" s="53">
        <f>Data!B58</f>
        <v>0.15182901918888092</v>
      </c>
      <c r="C47" s="53">
        <f>Data!AP58</f>
        <v>4.4033063315878355E-2</v>
      </c>
      <c r="D47" s="53">
        <f>Data!C58</f>
        <v>8.0435954034328461E-2</v>
      </c>
      <c r="E47" s="53">
        <f>Data!AQ58</f>
        <v>3.1762988078871582E-2</v>
      </c>
    </row>
    <row r="48" spans="1:5">
      <c r="A48">
        <v>1971</v>
      </c>
      <c r="B48" s="53"/>
      <c r="C48" s="53"/>
      <c r="D48" s="53"/>
      <c r="E48" s="53"/>
    </row>
    <row r="49" spans="1:5">
      <c r="A49">
        <v>1972</v>
      </c>
      <c r="B49" s="53">
        <f>Data!B60</f>
        <v>0.14235158264636993</v>
      </c>
      <c r="C49" s="53">
        <f>Data!AP60</f>
        <v>4.6846372847509664E-2</v>
      </c>
      <c r="D49" s="53">
        <f>Data!C60</f>
        <v>7.9447925090789795E-2</v>
      </c>
      <c r="E49" s="53">
        <f>Data!AQ60</f>
        <v>3.3472501111313127E-2</v>
      </c>
    </row>
    <row r="50" spans="1:5">
      <c r="A50">
        <v>1973</v>
      </c>
      <c r="B50" s="53">
        <f>Data!B61</f>
        <v>0.1126420646905899</v>
      </c>
      <c r="C50" s="53">
        <f>Data!AP61</f>
        <v>3.5385859808905289E-2</v>
      </c>
      <c r="D50" s="53">
        <f>Data!C61</f>
        <v>6.695874035358429E-2</v>
      </c>
      <c r="E50" s="53">
        <f>Data!AQ61</f>
        <v>2.6492315898698469E-2</v>
      </c>
    </row>
    <row r="51" spans="1:5">
      <c r="A51">
        <v>1974</v>
      </c>
      <c r="B51" s="53">
        <f>Data!B62</f>
        <v>0.10186830908060074</v>
      </c>
      <c r="C51" s="53">
        <f>Data!AP62</f>
        <v>3.3544346555306505E-2</v>
      </c>
      <c r="D51" s="53">
        <f>Data!C62</f>
        <v>6.1587277799844742E-2</v>
      </c>
      <c r="E51" s="53">
        <f>Data!AQ62</f>
        <v>2.6008578310694756E-2</v>
      </c>
    </row>
    <row r="52" spans="1:5">
      <c r="A52">
        <v>1975</v>
      </c>
      <c r="B52" s="53">
        <f>Data!B63</f>
        <v>0.11073751002550125</v>
      </c>
      <c r="C52" s="53">
        <f>Data!AP63</f>
        <v>3.6633255214657962E-2</v>
      </c>
      <c r="D52" s="53">
        <f>Data!C63</f>
        <v>6.5777711570262909E-2</v>
      </c>
      <c r="E52" s="53">
        <f>Data!AQ63</f>
        <v>2.7591375023635848E-2</v>
      </c>
    </row>
    <row r="53" spans="1:5">
      <c r="A53">
        <v>1976</v>
      </c>
      <c r="B53" s="53">
        <f>Data!B64</f>
        <v>0.11032526195049286</v>
      </c>
      <c r="C53" s="53">
        <f>Data!AP64</f>
        <v>3.8668693048390518E-2</v>
      </c>
      <c r="D53" s="53">
        <f>Data!C64</f>
        <v>6.7635558545589447E-2</v>
      </c>
      <c r="E53" s="53">
        <f>Data!AQ64</f>
        <v>2.874209135188209E-2</v>
      </c>
    </row>
    <row r="54" spans="1:5">
      <c r="A54">
        <v>1977</v>
      </c>
      <c r="B54" s="53">
        <f>Data!B65</f>
        <v>0.11107464879751205</v>
      </c>
      <c r="C54" s="53">
        <f>Data!AP65</f>
        <v>3.6540576474113892E-2</v>
      </c>
      <c r="D54" s="53">
        <f>Data!C65</f>
        <v>6.8443074822425842E-2</v>
      </c>
      <c r="E54" s="53">
        <f>Data!AQ65</f>
        <v>2.8433712646863257E-2</v>
      </c>
    </row>
    <row r="55" spans="1:5">
      <c r="A55">
        <v>1978</v>
      </c>
      <c r="B55" s="53">
        <f>Data!B66</f>
        <v>0.10067892819643021</v>
      </c>
      <c r="C55" s="53">
        <f>Data!AP66</f>
        <v>3.3676704565257537E-2</v>
      </c>
      <c r="D55" s="53">
        <f>Data!C66</f>
        <v>6.4096242189407349E-2</v>
      </c>
      <c r="E55" s="53">
        <f>Data!AQ66</f>
        <v>2.586952178167681E-2</v>
      </c>
    </row>
    <row r="56" spans="1:5">
      <c r="A56">
        <v>1979</v>
      </c>
      <c r="B56" s="53">
        <f>Data!B67</f>
        <v>0.11787800490856171</v>
      </c>
      <c r="C56" s="53">
        <f>Data!AP67</f>
        <v>3.5594369996343467E-2</v>
      </c>
      <c r="D56" s="53">
        <f>Data!C67</f>
        <v>7.5463555753231049E-2</v>
      </c>
      <c r="E56" s="53">
        <f>Data!AQ67</f>
        <v>2.7292399578326697E-2</v>
      </c>
    </row>
    <row r="57" spans="1:5">
      <c r="A57">
        <v>1980</v>
      </c>
      <c r="B57" s="53">
        <f>Data!B68</f>
        <v>0.10876652598381042</v>
      </c>
      <c r="C57" s="53">
        <f>Data!AP68</f>
        <v>3.9806833048505755E-2</v>
      </c>
      <c r="D57" s="53">
        <f>Data!C68</f>
        <v>7.1899525821208954E-2</v>
      </c>
      <c r="E57" s="53">
        <f>Data!AQ68</f>
        <v>3.1135736147984254E-2</v>
      </c>
    </row>
    <row r="58" spans="1:5">
      <c r="A58">
        <v>1981</v>
      </c>
      <c r="B58" s="53">
        <f>Data!B69</f>
        <v>0.12870089709758759</v>
      </c>
      <c r="C58" s="53">
        <f>Data!AP69</f>
        <v>4.3000643769311689E-2</v>
      </c>
      <c r="D58" s="53">
        <f>Data!C69</f>
        <v>8.0451257526874542E-2</v>
      </c>
      <c r="E58" s="53">
        <f>Data!AQ69</f>
        <v>3.4199829868800401E-2</v>
      </c>
    </row>
    <row r="59" spans="1:5">
      <c r="A59">
        <v>1982</v>
      </c>
      <c r="B59" s="53">
        <f>Data!B70</f>
        <v>8.4223732352256775E-2</v>
      </c>
      <c r="C59" s="53">
        <f>Data!AP70</f>
        <v>3.6280987431972611E-2</v>
      </c>
      <c r="D59" s="53">
        <f>Data!C70</f>
        <v>5.9816155582666397E-2</v>
      </c>
      <c r="E59" s="53">
        <f>Data!AQ70</f>
        <v>2.9996234271212192E-2</v>
      </c>
    </row>
    <row r="60" spans="1:5">
      <c r="A60">
        <v>1983</v>
      </c>
      <c r="B60" s="53">
        <f>Data!B71</f>
        <v>7.9008191823959351E-2</v>
      </c>
      <c r="C60" s="53">
        <f>Data!AP71</f>
        <v>3.622621582796394E-2</v>
      </c>
      <c r="D60" s="53">
        <f>Data!C71</f>
        <v>6.622517853975296E-2</v>
      </c>
      <c r="E60" s="53">
        <f>Data!AQ71</f>
        <v>3.2158357715755488E-2</v>
      </c>
    </row>
    <row r="61" spans="1:5">
      <c r="A61">
        <v>1984</v>
      </c>
      <c r="B61" s="53">
        <f>Data!B72</f>
        <v>8.1439316272735596E-2</v>
      </c>
      <c r="C61" s="53">
        <f>Data!AP72</f>
        <v>3.5671277579393396E-2</v>
      </c>
      <c r="D61" s="53">
        <f>Data!C72</f>
        <v>5.7889837771654129E-2</v>
      </c>
      <c r="E61" s="53">
        <f>Data!AQ72</f>
        <v>3.3196602139898737E-2</v>
      </c>
    </row>
    <row r="62" spans="1:5">
      <c r="A62">
        <v>1985</v>
      </c>
      <c r="B62" s="53">
        <f>Data!B73</f>
        <v>7.8300096094608307E-2</v>
      </c>
      <c r="C62" s="53">
        <f>Data!AP73</f>
        <v>3.8500318359159715E-2</v>
      </c>
      <c r="D62" s="53">
        <f>Data!C73</f>
        <v>6.9753624498844147E-2</v>
      </c>
      <c r="E62" s="53">
        <f>Data!AQ73</f>
        <v>4.1541581198006411E-2</v>
      </c>
    </row>
    <row r="63" spans="1:5">
      <c r="A63">
        <v>1986</v>
      </c>
      <c r="B63" s="53">
        <f>Data!B74</f>
        <v>0.10092118382453918</v>
      </c>
      <c r="C63" s="53">
        <f>Data!AP74</f>
        <v>5.4616693479326718E-2</v>
      </c>
      <c r="D63" s="53">
        <f>Data!C74</f>
        <v>7.5141042470932007E-2</v>
      </c>
      <c r="E63" s="53">
        <f>Data!AQ74</f>
        <v>6.0020254462487072E-2</v>
      </c>
    </row>
    <row r="64" spans="1:5">
      <c r="A64">
        <v>1987</v>
      </c>
      <c r="B64" s="53">
        <f>Data!B75</f>
        <v>4.7316454350948334E-2</v>
      </c>
      <c r="C64" s="53">
        <f>Data!AP75</f>
        <v>3.9225888769657262E-2</v>
      </c>
      <c r="D64" s="53">
        <f>Data!C75</f>
        <v>3.7539046257734299E-2</v>
      </c>
      <c r="E64" s="53">
        <f>Data!AQ75</f>
        <v>3.1781078150251794E-2</v>
      </c>
    </row>
    <row r="65" spans="1:5">
      <c r="A65">
        <v>1988</v>
      </c>
      <c r="B65" s="53">
        <f>Data!B76</f>
        <v>4.424922913312912E-2</v>
      </c>
      <c r="C65" s="53">
        <f>Data!AP76</f>
        <v>3.0154321485286958E-2</v>
      </c>
      <c r="D65" s="53">
        <f>Data!C76</f>
        <v>3.3198237419128418E-2</v>
      </c>
      <c r="E65" s="53">
        <f>Data!AQ76</f>
        <v>2.5039869923143516E-2</v>
      </c>
    </row>
    <row r="66" spans="1:5">
      <c r="A66">
        <v>1989</v>
      </c>
      <c r="B66" s="53">
        <f>Data!B77</f>
        <v>4.2416885495185852E-2</v>
      </c>
      <c r="C66" s="53">
        <f>Data!AP77</f>
        <v>3.3769995912376345E-2</v>
      </c>
      <c r="D66" s="53">
        <f>Data!C77</f>
        <v>3.5197064280509949E-2</v>
      </c>
      <c r="E66" s="53">
        <f>Data!AQ77</f>
        <v>2.7485461606526439E-2</v>
      </c>
    </row>
    <row r="67" spans="1:5">
      <c r="A67">
        <v>1990</v>
      </c>
      <c r="B67" s="53">
        <f>Data!B78</f>
        <v>4.0312815457582474E-2</v>
      </c>
      <c r="C67" s="53">
        <f>Data!AP78</f>
        <v>3.2735131441125831E-2</v>
      </c>
      <c r="D67" s="53">
        <f>Data!C78</f>
        <v>3.2312080264091492E-2</v>
      </c>
      <c r="E67" s="53">
        <f>Data!AQ78</f>
        <v>2.6092180958470067E-2</v>
      </c>
    </row>
    <row r="68" spans="1:5">
      <c r="A68">
        <v>1991</v>
      </c>
      <c r="B68" s="53">
        <f>Data!B79</f>
        <v>7.1500591933727264E-2</v>
      </c>
      <c r="C68" s="53">
        <f>Data!AP79</f>
        <v>3.3803811743243782E-2</v>
      </c>
      <c r="D68" s="53">
        <f>Data!C79</f>
        <v>4.6827960759401321E-2</v>
      </c>
      <c r="E68" s="53">
        <f>Data!AQ79</f>
        <v>2.7977342414867466E-2</v>
      </c>
    </row>
    <row r="69" spans="1:5">
      <c r="A69">
        <v>1992</v>
      </c>
      <c r="B69" s="53">
        <f>Data!B80</f>
        <v>3.5154171288013458E-2</v>
      </c>
      <c r="C69" s="53">
        <f>Data!AP80</f>
        <v>2.8485059247268813E-2</v>
      </c>
      <c r="D69" s="53">
        <f>Data!C80</f>
        <v>3.0727021396160126E-2</v>
      </c>
      <c r="E69" s="53">
        <f>Data!AQ80</f>
        <v>2.4552163027718114E-2</v>
      </c>
    </row>
    <row r="70" spans="1:5">
      <c r="A70">
        <v>1993</v>
      </c>
      <c r="B70" s="53">
        <f>Data!B81</f>
        <v>5.1010515540838242E-2</v>
      </c>
      <c r="C70" s="53">
        <f>Data!AP81</f>
        <v>4.1423536557822174E-2</v>
      </c>
      <c r="D70" s="53">
        <f>Data!C81</f>
        <v>4.1154626756906509E-2</v>
      </c>
      <c r="E70" s="53">
        <f>Data!AQ81</f>
        <v>3.2864856740963184E-2</v>
      </c>
    </row>
    <row r="71" spans="1:5">
      <c r="A71">
        <v>1994</v>
      </c>
      <c r="B71" s="53">
        <f>Data!B82</f>
        <v>5.7579375803470612E-2</v>
      </c>
      <c r="C71" s="53">
        <f>Data!AP82</f>
        <v>4.428445389570481E-2</v>
      </c>
      <c r="D71" s="53">
        <f>Data!C82</f>
        <v>4.5033946633338928E-2</v>
      </c>
      <c r="E71" s="53">
        <f>Data!AQ82</f>
        <v>3.4628115360844598E-2</v>
      </c>
    </row>
    <row r="72" spans="1:5">
      <c r="A72">
        <v>1995</v>
      </c>
      <c r="B72" s="53">
        <f>Data!B83</f>
        <v>4.7401860356330872E-2</v>
      </c>
      <c r="C72" s="53">
        <f>Data!AP83</f>
        <v>4.0411417634005284E-2</v>
      </c>
      <c r="D72" s="53">
        <f>Data!C83</f>
        <v>3.8413349539041519E-2</v>
      </c>
      <c r="E72" s="53">
        <f>Data!AQ83</f>
        <v>3.2472362953008697E-2</v>
      </c>
    </row>
    <row r="73" spans="1:5">
      <c r="A73">
        <v>1996</v>
      </c>
      <c r="B73" s="53">
        <f>Data!B84</f>
        <v>6.4663425087928772E-2</v>
      </c>
      <c r="C73" s="53">
        <f>Data!AP84</f>
        <v>5.479790149796239E-2</v>
      </c>
      <c r="D73" s="53">
        <f>Data!C84</f>
        <v>4.913034662604332E-2</v>
      </c>
      <c r="E73" s="53">
        <f>Data!AQ84</f>
        <v>4.0624886454192558E-2</v>
      </c>
    </row>
    <row r="74" spans="1:5">
      <c r="A74">
        <v>1997</v>
      </c>
      <c r="B74" s="53">
        <f>Data!B85</f>
        <v>7.444530725479126E-2</v>
      </c>
      <c r="C74" s="53">
        <f>Data!AP85</f>
        <v>6.146432732128753E-2</v>
      </c>
      <c r="D74" s="53">
        <f>Data!C85</f>
        <v>5.7321712374687195E-2</v>
      </c>
      <c r="E74" s="53">
        <f>Data!AQ85</f>
        <v>4.5500966548559729E-2</v>
      </c>
    </row>
    <row r="75" spans="1:5">
      <c r="A75">
        <v>1998</v>
      </c>
      <c r="B75" s="53">
        <f>Data!B86</f>
        <v>6.5787836909294128E-2</v>
      </c>
      <c r="C75" s="53">
        <f>Data!AP86</f>
        <v>6.0726583833231595E-2</v>
      </c>
      <c r="D75" s="53">
        <f>Data!C86</f>
        <v>5.1965672522783279E-2</v>
      </c>
      <c r="E75" s="53">
        <f>Data!AQ86</f>
        <v>4.5315369954839903E-2</v>
      </c>
    </row>
    <row r="76" spans="1:5">
      <c r="A76">
        <v>1999</v>
      </c>
      <c r="B76" s="53">
        <f>Data!B87</f>
        <v>6.2063165009021759E-2</v>
      </c>
      <c r="C76" s="53">
        <f>Data!AP87</f>
        <v>6.8662937684726061E-2</v>
      </c>
      <c r="D76" s="53">
        <f>Data!C87</f>
        <v>5.1538269966840744E-2</v>
      </c>
      <c r="E76" s="53">
        <f>Data!AQ87</f>
        <v>5.010326458334962E-2</v>
      </c>
    </row>
    <row r="77" spans="1:5">
      <c r="A77">
        <v>2000</v>
      </c>
      <c r="B77" s="53">
        <f>Data!B88</f>
        <v>6.1263587325811386E-2</v>
      </c>
      <c r="C77" s="53">
        <f>Data!AP88</f>
        <v>7.0001069642965236E-2</v>
      </c>
      <c r="D77" s="53">
        <f>Data!C88</f>
        <v>5.3797226399183273E-2</v>
      </c>
      <c r="E77" s="53">
        <f>Data!AQ88</f>
        <v>5.0392212191130194E-2</v>
      </c>
    </row>
    <row r="78" spans="1:5">
      <c r="A78">
        <v>2001</v>
      </c>
      <c r="B78" s="53">
        <f>Data!B89</f>
        <v>5.8879591524600983E-2</v>
      </c>
      <c r="C78" s="53">
        <f>Data!AP89</f>
        <v>6.4667166181921518E-2</v>
      </c>
      <c r="D78" s="53">
        <f>Data!C89</f>
        <v>4.8725444823503494E-2</v>
      </c>
      <c r="E78" s="53">
        <f>Data!AQ89</f>
        <v>4.492363956438504E-2</v>
      </c>
    </row>
    <row r="79" spans="1:5">
      <c r="A79">
        <v>2002</v>
      </c>
      <c r="B79" s="53">
        <f>Data!B90</f>
        <v>7.2522386908531189E-2</v>
      </c>
      <c r="C79" s="53">
        <f>Data!AP90</f>
        <v>5.8631586837714494E-2</v>
      </c>
      <c r="D79" s="53">
        <f>Data!C90</f>
        <v>5.1495131105184555E-2</v>
      </c>
      <c r="E79" s="53">
        <f>Data!AQ90</f>
        <v>4.1345031277044926E-2</v>
      </c>
    </row>
    <row r="80" spans="1:5">
      <c r="A80">
        <v>2003</v>
      </c>
      <c r="B80" s="53">
        <f>Data!B91</f>
        <v>6.6449202597141266E-2</v>
      </c>
      <c r="C80" s="53">
        <f>Data!AP91</f>
        <v>6.0371001838397838E-2</v>
      </c>
      <c r="D80" s="53">
        <f>Data!C91</f>
        <v>5.2631709724664688E-2</v>
      </c>
      <c r="E80" s="53">
        <f>Data!AQ91</f>
        <v>4.3145690666963547E-2</v>
      </c>
    </row>
    <row r="81" spans="1:5">
      <c r="A81">
        <v>2004</v>
      </c>
      <c r="B81" s="53">
        <f>Data!B92</f>
        <v>6.486356258392334E-2</v>
      </c>
      <c r="C81" s="53">
        <f>Data!AP92</f>
        <v>6.5068566140024292E-2</v>
      </c>
      <c r="D81" s="53">
        <f>Data!C92</f>
        <v>5.3260460495948792E-2</v>
      </c>
      <c r="E81" s="53">
        <f>Data!AQ92</f>
        <v>4.7331944122230685E-2</v>
      </c>
    </row>
    <row r="82" spans="1:5">
      <c r="A82">
        <v>2005</v>
      </c>
      <c r="B82" s="53">
        <f>Data!B93</f>
        <v>6.5639585256576538E-2</v>
      </c>
      <c r="C82" s="53">
        <f>Data!AP93</f>
        <v>6.7047800906891331E-2</v>
      </c>
      <c r="D82" s="53">
        <f>Data!C93</f>
        <v>5.7614456862211227E-2</v>
      </c>
      <c r="E82" s="53">
        <f>Data!AQ93</f>
        <v>5.0595764211039403E-2</v>
      </c>
    </row>
    <row r="83" spans="1:5">
      <c r="A83">
        <v>2006</v>
      </c>
      <c r="B83" s="53">
        <f>Data!B94</f>
        <v>7.6668843626976013E-2</v>
      </c>
      <c r="C83" s="53">
        <f>Data!AP94</f>
        <v>6.8291926251416252E-2</v>
      </c>
      <c r="D83" s="53">
        <f>Data!C94</f>
        <v>5.5961411446332932E-2</v>
      </c>
      <c r="E83" s="53">
        <f>Data!AQ94</f>
        <v>4.836369918999301E-2</v>
      </c>
    </row>
    <row r="84" spans="1:5">
      <c r="A84">
        <v>2007</v>
      </c>
      <c r="B84" s="53">
        <f>Data!B95</f>
        <v>4.8019655048847198E-2</v>
      </c>
      <c r="C84" s="53">
        <f>Data!AP95</f>
        <v>7.3911854518182205E-2</v>
      </c>
      <c r="D84" s="53">
        <f>Data!C95</f>
        <v>4.6173892915248871E-2</v>
      </c>
      <c r="E84" s="53">
        <f>Data!AQ95</f>
        <v>5.2881880823035972E-2</v>
      </c>
    </row>
    <row r="85" spans="1:5">
      <c r="A85">
        <v>2008</v>
      </c>
      <c r="B85" s="53">
        <f>Data!B96</f>
        <v>5.7341277599334717E-2</v>
      </c>
      <c r="C85" s="53">
        <f>Data!AP96</f>
        <v>5.6275569202281647E-2</v>
      </c>
      <c r="D85" s="53">
        <f>Data!C96</f>
        <v>4.6213582158088684E-2</v>
      </c>
      <c r="E85" s="53">
        <f>Data!AQ96</f>
        <v>4.0553126084806983E-2</v>
      </c>
    </row>
    <row r="86" spans="1:5">
      <c r="A86">
        <v>2009</v>
      </c>
      <c r="B86" s="53">
        <f>Data!B97</f>
        <v>9.3117699027061462E-2</v>
      </c>
      <c r="C86" s="53">
        <f>Data!AP97</f>
        <v>5.1690802676712548E-2</v>
      </c>
      <c r="D86" s="53">
        <f>Data!C97</f>
        <v>5.9104848653078079E-2</v>
      </c>
      <c r="E86" s="53">
        <f>Data!AQ97</f>
        <v>3.7936220191234354E-2</v>
      </c>
    </row>
    <row r="87" spans="1:5">
      <c r="A87">
        <v>2010</v>
      </c>
      <c r="B87" s="53">
        <f>Data!B98</f>
        <v>8.8891275227069855E-2</v>
      </c>
      <c r="C87" s="53">
        <f>Data!AP98</f>
        <v>5.1646213500255382E-2</v>
      </c>
      <c r="D87" s="53">
        <f>Data!C98</f>
        <v>5.9766091406345367E-2</v>
      </c>
      <c r="E87" s="53">
        <f>Data!AQ98</f>
        <v>3.8634136380525534E-2</v>
      </c>
    </row>
    <row r="88" spans="1:5">
      <c r="A88">
        <v>2011</v>
      </c>
      <c r="B88" s="53">
        <f>Data!B99</f>
        <v>9.4633206725120544E-2</v>
      </c>
      <c r="C88" s="53">
        <f>Data!AP99</f>
        <v>5.6213107227611636E-2</v>
      </c>
      <c r="D88" s="53">
        <f>Data!C99</f>
        <v>6.4086958765983582E-2</v>
      </c>
      <c r="E88" s="53">
        <f>Data!AQ99</f>
        <v>4.0217189998299069E-2</v>
      </c>
    </row>
    <row r="89" spans="1:5">
      <c r="A89">
        <v>2012</v>
      </c>
      <c r="B89" s="53">
        <f>Data!B100</f>
        <v>5.8285310864448547E-2</v>
      </c>
      <c r="C89" s="53">
        <f>Data!AP100</f>
        <v>7.1879162345035497E-2</v>
      </c>
      <c r="D89" s="53">
        <f>Data!C100</f>
        <v>4.5815076678991318E-2</v>
      </c>
      <c r="E89" s="53">
        <f>Data!AQ100</f>
        <v>4.9754241283390802E-2</v>
      </c>
    </row>
    <row r="90" spans="1:5">
      <c r="A90">
        <v>2013</v>
      </c>
      <c r="B90" s="53"/>
      <c r="C90" s="53">
        <f>Data!AP101</f>
        <v>7.1865669779015151E-2</v>
      </c>
      <c r="D90" s="53"/>
      <c r="E90" s="53">
        <f>Data!AQ101</f>
        <v>4.8378574518569056E-2</v>
      </c>
    </row>
    <row r="91" spans="1:5">
      <c r="A91">
        <v>2014</v>
      </c>
      <c r="B91" s="53"/>
      <c r="C91" s="53">
        <f>Data!AP102</f>
        <v>7.755098708003122E-2</v>
      </c>
      <c r="D91" s="53"/>
      <c r="E91" s="53">
        <f>Data!AQ102</f>
        <v>5.2594877019521313E-2</v>
      </c>
    </row>
    <row r="92" spans="1:5">
      <c r="A92">
        <v>2015</v>
      </c>
      <c r="B92" s="53"/>
      <c r="C92" s="53">
        <f>Data!AP103</f>
        <v>7.8117924949670473E-2</v>
      </c>
      <c r="D92" s="53"/>
      <c r="E92" s="53">
        <f>Data!AQ103</f>
        <v>5.3549057910277052E-2</v>
      </c>
    </row>
    <row r="93" spans="1:5">
      <c r="A93">
        <v>2016</v>
      </c>
      <c r="B93" s="53"/>
      <c r="C93" s="53"/>
      <c r="D93" s="53"/>
      <c r="E93" s="53"/>
    </row>
    <row r="94" spans="1:5">
      <c r="A94">
        <v>2017</v>
      </c>
    </row>
    <row r="95" spans="1:5">
      <c r="A95">
        <v>2018</v>
      </c>
    </row>
    <row r="96" spans="1:5">
      <c r="A96">
        <v>2019</v>
      </c>
    </row>
    <row r="97" spans="1:1">
      <c r="A97">
        <v>2020</v>
      </c>
    </row>
  </sheetData>
  <mergeCells count="5">
    <mergeCell ref="B34:E34"/>
    <mergeCell ref="B35:C35"/>
    <mergeCell ref="D35:E35"/>
    <mergeCell ref="A29:L29"/>
    <mergeCell ref="A30:L30"/>
  </mergeCells>
  <hyperlinks>
    <hyperlink ref="J1" location="Index!A1" display="index"/>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44"/>
  <sheetViews>
    <sheetView workbookViewId="0">
      <selection activeCell="L1" sqref="L1"/>
    </sheetView>
  </sheetViews>
  <sheetFormatPr defaultRowHeight="14.4"/>
  <cols>
    <col min="2" max="2" width="9.88671875" bestFit="1" customWidth="1"/>
    <col min="4" max="4" width="12.33203125" customWidth="1"/>
    <col min="5" max="5" width="10" customWidth="1"/>
  </cols>
  <sheetData>
    <row r="1" spans="1:12" ht="15.6">
      <c r="A1" s="97" t="s">
        <v>138</v>
      </c>
      <c r="L1" s="99" t="s">
        <v>143</v>
      </c>
    </row>
    <row r="28" spans="1:17" ht="27.75" customHeight="1">
      <c r="A28" s="117" t="s">
        <v>139</v>
      </c>
      <c r="B28" s="117"/>
      <c r="C28" s="117"/>
      <c r="D28" s="117"/>
      <c r="E28" s="117"/>
      <c r="F28" s="117"/>
      <c r="G28" s="117"/>
      <c r="H28" s="117"/>
      <c r="I28" s="117"/>
      <c r="J28" s="117"/>
      <c r="K28" s="117"/>
      <c r="L28" s="117"/>
      <c r="M28" s="117"/>
      <c r="N28" s="117"/>
    </row>
    <row r="29" spans="1:17" ht="29.25" customHeight="1">
      <c r="A29" s="117" t="s">
        <v>140</v>
      </c>
      <c r="B29" s="117"/>
      <c r="C29" s="117"/>
      <c r="D29" s="117"/>
      <c r="E29" s="117"/>
      <c r="F29" s="117"/>
      <c r="G29" s="117"/>
      <c r="H29" s="117"/>
      <c r="I29" s="117"/>
      <c r="J29" s="117"/>
      <c r="K29" s="117"/>
      <c r="L29" s="117"/>
      <c r="M29" s="117"/>
      <c r="N29" s="117"/>
    </row>
    <row r="31" spans="1:17">
      <c r="I31" s="31"/>
    </row>
    <row r="32" spans="1:17">
      <c r="A32" s="32" t="s">
        <v>121</v>
      </c>
      <c r="G32" s="93">
        <f>CORREL(H38:H137,J38:J137)</f>
        <v>0.94495418592977598</v>
      </c>
      <c r="L32" s="32"/>
      <c r="Q32" s="93"/>
    </row>
    <row r="33" spans="1:18">
      <c r="A33" s="32" t="s">
        <v>157</v>
      </c>
      <c r="G33" s="93">
        <f>CORREL(H81:H137,J81:J137)</f>
        <v>0.91840431664625644</v>
      </c>
      <c r="L33" s="32" t="s">
        <v>156</v>
      </c>
      <c r="Q33" s="93">
        <f>CORREL(M81:M$137,O81:O$137)</f>
        <v>0.44118767313862067</v>
      </c>
      <c r="R33" s="31"/>
    </row>
    <row r="34" spans="1:18">
      <c r="L34" s="32"/>
      <c r="Q34" s="93"/>
    </row>
    <row r="35" spans="1:18">
      <c r="B35" s="118" t="s">
        <v>154</v>
      </c>
      <c r="C35" s="118"/>
      <c r="D35" s="118"/>
      <c r="E35" s="118"/>
      <c r="F35" s="118"/>
      <c r="G35" s="118"/>
      <c r="H35" s="118"/>
      <c r="I35" s="59" t="s">
        <v>38</v>
      </c>
      <c r="J35" s="59" t="s">
        <v>38</v>
      </c>
      <c r="L35" s="118" t="s">
        <v>151</v>
      </c>
      <c r="M35" s="118"/>
      <c r="N35" s="119" t="s">
        <v>153</v>
      </c>
      <c r="O35" s="119"/>
      <c r="P35" s="110"/>
      <c r="Q35" s="54"/>
      <c r="R35" s="31"/>
    </row>
    <row r="36" spans="1:18">
      <c r="B36" s="118" t="s">
        <v>1</v>
      </c>
      <c r="C36" s="118"/>
      <c r="D36" s="118" t="s">
        <v>158</v>
      </c>
      <c r="E36" s="118"/>
      <c r="F36" s="118" t="s">
        <v>2</v>
      </c>
      <c r="G36" s="118"/>
      <c r="H36" s="118"/>
      <c r="I36" s="59" t="s">
        <v>40</v>
      </c>
      <c r="J36" s="60" t="s">
        <v>150</v>
      </c>
      <c r="L36" s="60" t="s">
        <v>152</v>
      </c>
      <c r="M36" s="109" t="s">
        <v>155</v>
      </c>
      <c r="N36" s="60" t="s">
        <v>152</v>
      </c>
      <c r="O36" s="109" t="s">
        <v>155</v>
      </c>
      <c r="P36" s="111"/>
    </row>
    <row r="37" spans="1:18">
      <c r="A37" s="35"/>
      <c r="B37" s="61" t="s">
        <v>43</v>
      </c>
      <c r="C37" s="61" t="s">
        <v>44</v>
      </c>
      <c r="D37" s="61" t="s">
        <v>43</v>
      </c>
      <c r="E37" s="61" t="s">
        <v>44</v>
      </c>
      <c r="F37" s="61" t="s">
        <v>43</v>
      </c>
      <c r="G37" s="61" t="s">
        <v>44</v>
      </c>
      <c r="H37" s="61" t="s">
        <v>45</v>
      </c>
      <c r="I37" s="61"/>
      <c r="J37" s="62"/>
    </row>
    <row r="38" spans="1:18">
      <c r="A38">
        <v>1917</v>
      </c>
      <c r="B38" s="55">
        <f>Data!AA5</f>
        <v>54954.793106366422</v>
      </c>
      <c r="C38" s="55"/>
      <c r="D38" s="55">
        <f>(Data!W5-Data!V5)/(Data!S5-Data!R5)*1000</f>
        <v>32394.067881270403</v>
      </c>
      <c r="E38" s="55"/>
      <c r="F38" s="55">
        <f>Data!Z5</f>
        <v>258001.32013223055</v>
      </c>
      <c r="G38" s="55"/>
      <c r="H38" s="55">
        <f>F38</f>
        <v>258001.32013223055</v>
      </c>
      <c r="I38" s="34">
        <v>7.21</v>
      </c>
      <c r="J38" s="55">
        <f>I38*Data!F5</f>
        <v>122.30682633736444</v>
      </c>
      <c r="L38" s="106">
        <f>LN(J38)</f>
        <v>4.8065328574671327</v>
      </c>
      <c r="N38" s="107"/>
    </row>
    <row r="39" spans="1:18">
      <c r="A39">
        <v>1918</v>
      </c>
      <c r="B39" s="55"/>
      <c r="C39" s="55"/>
      <c r="D39" s="55"/>
      <c r="F39" s="55"/>
      <c r="G39" s="55"/>
      <c r="H39" s="55"/>
      <c r="I39" s="34">
        <v>7.85</v>
      </c>
      <c r="J39" s="55">
        <f>I39*Data!F6</f>
        <v>113.3808664706728</v>
      </c>
      <c r="L39" s="106">
        <f>LN(J39)</f>
        <v>4.7307526510496407</v>
      </c>
      <c r="M39" s="106"/>
      <c r="N39" s="107"/>
      <c r="O39" s="106"/>
    </row>
    <row r="40" spans="1:18">
      <c r="A40">
        <v>1919</v>
      </c>
      <c r="B40" s="55"/>
      <c r="C40" s="55"/>
      <c r="D40" s="55"/>
      <c r="F40" s="55"/>
      <c r="G40" s="55"/>
      <c r="H40" s="55"/>
      <c r="I40" s="34">
        <v>8.83</v>
      </c>
      <c r="J40" s="55">
        <f>I40*Data!F7</f>
        <v>111.03952634388865</v>
      </c>
      <c r="L40" s="106">
        <f t="shared" ref="L40:L103" si="0">LN(J40)</f>
        <v>4.7098862311143881</v>
      </c>
      <c r="M40" s="106"/>
      <c r="N40" s="107"/>
      <c r="O40" s="106"/>
    </row>
    <row r="41" spans="1:18">
      <c r="A41">
        <v>1920</v>
      </c>
      <c r="B41" s="55"/>
      <c r="C41" s="55"/>
      <c r="D41" s="55"/>
      <c r="F41" s="55"/>
      <c r="G41" s="55"/>
      <c r="H41" s="55"/>
      <c r="I41" s="34">
        <v>7.11</v>
      </c>
      <c r="J41" s="55">
        <f>I41*Data!F8</f>
        <v>77.190704932807648</v>
      </c>
      <c r="L41" s="106">
        <f t="shared" si="0"/>
        <v>4.3462790473570054</v>
      </c>
      <c r="M41" s="106"/>
      <c r="N41" s="107"/>
      <c r="O41" s="106"/>
    </row>
    <row r="42" spans="1:18">
      <c r="A42">
        <v>1921</v>
      </c>
      <c r="B42" s="55"/>
      <c r="C42" s="55"/>
      <c r="D42" s="55"/>
      <c r="F42" s="55"/>
      <c r="G42" s="55"/>
      <c r="H42" s="55"/>
      <c r="I42" s="34">
        <v>7.3</v>
      </c>
      <c r="J42" s="55">
        <f>I42*Data!F9</f>
        <v>88.71656685079283</v>
      </c>
      <c r="L42" s="106">
        <f t="shared" si="0"/>
        <v>4.4854466458415452</v>
      </c>
      <c r="M42" s="106"/>
      <c r="N42" s="107"/>
      <c r="O42" s="106"/>
    </row>
    <row r="43" spans="1:18">
      <c r="A43">
        <v>1922</v>
      </c>
      <c r="B43" s="55">
        <f>Data!AA10</f>
        <v>27084.822304387897</v>
      </c>
      <c r="C43" s="55"/>
      <c r="D43" s="55">
        <f>(Data!W10-Data!V10)/(Data!S10-Data!R10)*1000</f>
        <v>19505.281906256037</v>
      </c>
      <c r="F43" s="55">
        <f>Data!Z10</f>
        <v>95300.68588757464</v>
      </c>
      <c r="G43" s="55"/>
      <c r="H43" s="55">
        <f t="shared" ref="H43:H79" si="1">F43</f>
        <v>95300.68588757464</v>
      </c>
      <c r="I43" s="34">
        <v>8.9</v>
      </c>
      <c r="J43" s="55">
        <f>I43*Data!F10</f>
        <v>115.48695915107301</v>
      </c>
      <c r="L43" s="106">
        <f t="shared" si="0"/>
        <v>4.7491576158043669</v>
      </c>
      <c r="M43" s="106"/>
      <c r="N43" s="107">
        <f t="shared" ref="N43:N102" si="2">LN(H43)</f>
        <v>11.464792286757786</v>
      </c>
      <c r="O43" s="106"/>
    </row>
    <row r="44" spans="1:18">
      <c r="A44">
        <v>1923</v>
      </c>
      <c r="B44" s="55">
        <f>Data!AA11</f>
        <v>28569.143519798956</v>
      </c>
      <c r="C44" s="55"/>
      <c r="D44" s="55">
        <f>(Data!W11-Data!V11)/(Data!S11-Data!R11)*1000</f>
        <v>20592.493292013089</v>
      </c>
      <c r="F44" s="55">
        <f>Data!Z11</f>
        <v>100358.99556987177</v>
      </c>
      <c r="G44" s="55"/>
      <c r="H44" s="55">
        <f t="shared" si="1"/>
        <v>100358.99556987177</v>
      </c>
      <c r="I44" s="34">
        <v>8.83</v>
      </c>
      <c r="J44" s="55">
        <f>I44*Data!F11</f>
        <v>112.56061574585971</v>
      </c>
      <c r="L44" s="106">
        <f t="shared" si="0"/>
        <v>4.7234918831701664</v>
      </c>
      <c r="M44" s="106">
        <f t="shared" ref="M44:M103" si="3">L44-L43</f>
        <v>-2.5665732634200467E-2</v>
      </c>
      <c r="N44" s="107">
        <f t="shared" si="2"/>
        <v>11.516508992158771</v>
      </c>
      <c r="O44" s="106">
        <f t="shared" ref="O44:O103" si="4">N44-N43</f>
        <v>5.1716705400984608E-2</v>
      </c>
    </row>
    <row r="45" spans="1:18">
      <c r="A45">
        <v>1924</v>
      </c>
      <c r="B45" s="55">
        <f>Data!AA12</f>
        <v>31414.447355091943</v>
      </c>
      <c r="C45" s="55"/>
      <c r="D45" s="55">
        <f>(Data!W12-Data!V12)/(Data!S12-Data!R12)*1000</f>
        <v>22004.306676707289</v>
      </c>
      <c r="F45" s="55">
        <f>Data!Z12</f>
        <v>116105.71346055387</v>
      </c>
      <c r="G45" s="55"/>
      <c r="H45" s="55">
        <f t="shared" si="1"/>
        <v>116105.71346055387</v>
      </c>
      <c r="I45" s="34">
        <v>10.58</v>
      </c>
      <c r="J45" s="55">
        <f>I45*Data!F12</f>
        <v>134.60536296629499</v>
      </c>
      <c r="L45" s="106">
        <f t="shared" si="0"/>
        <v>4.9023472601486473</v>
      </c>
      <c r="M45" s="106">
        <f t="shared" si="3"/>
        <v>0.17885537697848086</v>
      </c>
      <c r="N45" s="107">
        <f t="shared" si="2"/>
        <v>11.662256378021679</v>
      </c>
      <c r="O45" s="106">
        <f t="shared" si="4"/>
        <v>0.14574738586290792</v>
      </c>
      <c r="P45" s="106"/>
    </row>
    <row r="46" spans="1:18">
      <c r="A46">
        <v>1925</v>
      </c>
      <c r="B46" s="55">
        <f>Data!AA13</f>
        <v>29160.97722017239</v>
      </c>
      <c r="C46" s="55"/>
      <c r="D46" s="55">
        <f>(Data!W13-Data!V13)/(Data!S13-Data!R13)*1000</f>
        <v>21146.321136809067</v>
      </c>
      <c r="F46" s="55">
        <f>Data!Z13</f>
        <v>101292.88197044235</v>
      </c>
      <c r="G46" s="55"/>
      <c r="H46" s="55">
        <f t="shared" si="1"/>
        <v>101292.88197044235</v>
      </c>
      <c r="I46" s="34">
        <v>12.65</v>
      </c>
      <c r="J46" s="55">
        <f>I46*Data!F13</f>
        <v>156.95598431183711</v>
      </c>
      <c r="L46" s="106">
        <f t="shared" si="0"/>
        <v>5.0559654113399075</v>
      </c>
      <c r="M46" s="106">
        <f t="shared" si="3"/>
        <v>0.15361815119126021</v>
      </c>
      <c r="N46" s="107">
        <f t="shared" si="2"/>
        <v>11.525771420941117</v>
      </c>
      <c r="O46" s="106">
        <f t="shared" si="4"/>
        <v>-0.13648495708056174</v>
      </c>
      <c r="P46" s="106"/>
    </row>
    <row r="47" spans="1:18">
      <c r="A47">
        <v>1926</v>
      </c>
      <c r="B47" s="55">
        <f>Data!AA14</f>
        <v>33344.888686269645</v>
      </c>
      <c r="C47" s="55"/>
      <c r="D47" s="55">
        <f>(Data!W14-Data!V14)/(Data!S14-Data!R14)*1000</f>
        <v>23772.828588722052</v>
      </c>
      <c r="F47" s="55">
        <f>Data!Z14</f>
        <v>119493.42956419801</v>
      </c>
      <c r="G47" s="55"/>
      <c r="H47" s="55">
        <f t="shared" si="1"/>
        <v>119493.42956419801</v>
      </c>
      <c r="I47" s="34">
        <v>13.4</v>
      </c>
      <c r="J47" s="55">
        <f>I47*Data!F14</f>
        <v>164.69316871262203</v>
      </c>
      <c r="L47" s="106">
        <f t="shared" si="0"/>
        <v>5.1040841591687007</v>
      </c>
      <c r="M47" s="106">
        <f t="shared" si="3"/>
        <v>4.8118747828793218E-2</v>
      </c>
      <c r="N47" s="107">
        <f t="shared" si="2"/>
        <v>11.69101666611572</v>
      </c>
      <c r="O47" s="106">
        <f t="shared" si="4"/>
        <v>0.16524524517460293</v>
      </c>
      <c r="P47" s="106"/>
    </row>
    <row r="48" spans="1:18">
      <c r="A48">
        <v>1927</v>
      </c>
      <c r="B48" s="55">
        <f>Data!AA15</f>
        <v>36236.158563860168</v>
      </c>
      <c r="C48" s="55"/>
      <c r="D48" s="55">
        <f>(Data!W15-Data!V15)/(Data!S15-Data!R15)*1000</f>
        <v>25124.500966250853</v>
      </c>
      <c r="F48" s="55">
        <f>Data!Z15</f>
        <v>136241.07694234402</v>
      </c>
      <c r="G48" s="55"/>
      <c r="H48" s="55">
        <f t="shared" si="1"/>
        <v>136241.07694234402</v>
      </c>
      <c r="I48" s="34">
        <v>17.53</v>
      </c>
      <c r="J48" s="55">
        <f>I48*Data!F15</f>
        <v>219.59640660047359</v>
      </c>
      <c r="L48" s="106">
        <f t="shared" si="0"/>
        <v>5.3917913461156726</v>
      </c>
      <c r="M48" s="106">
        <f t="shared" si="3"/>
        <v>0.28770718694697184</v>
      </c>
      <c r="N48" s="107">
        <f t="shared" si="2"/>
        <v>11.822181220049485</v>
      </c>
      <c r="O48" s="106">
        <f t="shared" si="4"/>
        <v>0.13116455393376469</v>
      </c>
      <c r="P48" s="106"/>
    </row>
    <row r="49" spans="1:16">
      <c r="A49">
        <v>1928</v>
      </c>
      <c r="B49" s="55">
        <f>Data!AA16</f>
        <v>35241.787011113927</v>
      </c>
      <c r="C49" s="55"/>
      <c r="D49" s="55">
        <f>(Data!W16-Data!V16)/(Data!S16-Data!R16)*1000</f>
        <v>23922.12219296347</v>
      </c>
      <c r="F49" s="55">
        <f>Data!Z16</f>
        <v>137118.77037446809</v>
      </c>
      <c r="G49" s="55"/>
      <c r="H49" s="55">
        <f t="shared" si="1"/>
        <v>137118.77037446809</v>
      </c>
      <c r="I49" s="34">
        <v>24.86</v>
      </c>
      <c r="J49" s="55">
        <f>I49*Data!F16</f>
        <v>315.66789623865543</v>
      </c>
      <c r="L49" s="106">
        <f t="shared" si="0"/>
        <v>5.7546906996697977</v>
      </c>
      <c r="M49" s="106">
        <f t="shared" si="3"/>
        <v>0.36289935355412517</v>
      </c>
      <c r="N49" s="107">
        <f t="shared" si="2"/>
        <v>11.828602766277308</v>
      </c>
      <c r="O49" s="106">
        <f t="shared" si="4"/>
        <v>6.421546227823427E-3</v>
      </c>
      <c r="P49" s="106"/>
    </row>
    <row r="50" spans="1:16">
      <c r="A50">
        <v>1929</v>
      </c>
      <c r="B50" s="55">
        <f>Data!AA17</f>
        <v>33850.046060989531</v>
      </c>
      <c r="C50" s="55"/>
      <c r="D50" s="55">
        <f>(Data!W17-Data!V17)/(Data!S17-Data!R17)*1000</f>
        <v>22880.274123841369</v>
      </c>
      <c r="F50" s="55">
        <f>Data!Z17</f>
        <v>132577.99349532291</v>
      </c>
      <c r="G50" s="55"/>
      <c r="H50" s="55">
        <f t="shared" si="1"/>
        <v>132577.99349532291</v>
      </c>
      <c r="I50" s="34">
        <v>21.71</v>
      </c>
      <c r="J50" s="55">
        <f>I50*Data!F17</f>
        <v>275.66975170318625</v>
      </c>
      <c r="L50" s="106">
        <f t="shared" si="0"/>
        <v>5.6192035974774335</v>
      </c>
      <c r="M50" s="106">
        <f t="shared" si="3"/>
        <v>-0.13548710219236426</v>
      </c>
      <c r="N50" s="107">
        <f t="shared" si="2"/>
        <v>11.79492638138702</v>
      </c>
      <c r="O50" s="106">
        <f t="shared" si="4"/>
        <v>-3.3676384890288347E-2</v>
      </c>
      <c r="P50" s="106"/>
    </row>
    <row r="51" spans="1:16">
      <c r="A51">
        <v>1930</v>
      </c>
      <c r="B51" s="55">
        <f>Data!AA18</f>
        <v>31143.713247781081</v>
      </c>
      <c r="C51" s="55"/>
      <c r="D51" s="55">
        <f>(Data!W18-Data!V18)/(Data!S18-Data!R18)*1000</f>
        <v>20509.254637728831</v>
      </c>
      <c r="F51" s="55">
        <f>Data!Z18</f>
        <v>126853.8407382513</v>
      </c>
      <c r="G51" s="55"/>
      <c r="H51" s="55">
        <f t="shared" si="1"/>
        <v>126853.8407382513</v>
      </c>
      <c r="I51" s="34">
        <v>15.98</v>
      </c>
      <c r="J51" s="55">
        <f>I51*Data!F18</f>
        <v>208.18691389472849</v>
      </c>
      <c r="L51" s="106">
        <f t="shared" si="0"/>
        <v>5.3384363006739388</v>
      </c>
      <c r="M51" s="106">
        <f t="shared" si="3"/>
        <v>-0.28076729680349466</v>
      </c>
      <c r="N51" s="107">
        <f t="shared" si="2"/>
        <v>11.750790842363715</v>
      </c>
      <c r="O51" s="106">
        <f t="shared" si="4"/>
        <v>-4.4135539023304915E-2</v>
      </c>
      <c r="P51" s="106"/>
    </row>
    <row r="52" spans="1:16">
      <c r="A52">
        <v>1931</v>
      </c>
      <c r="B52" s="55">
        <f>Data!AA19</f>
        <v>24727.949547176802</v>
      </c>
      <c r="C52" s="55"/>
      <c r="D52" s="55">
        <f>(Data!W19-Data!V19)/(Data!S19-Data!R19)*1000</f>
        <v>16755.237954025975</v>
      </c>
      <c r="F52" s="55">
        <f>Data!Z19</f>
        <v>96482.353885534263</v>
      </c>
      <c r="G52" s="55"/>
      <c r="H52" s="55">
        <f t="shared" si="1"/>
        <v>96482.353885534263</v>
      </c>
      <c r="I52" s="34">
        <v>8.3000000000000007</v>
      </c>
      <c r="J52" s="55">
        <f>I52*Data!F19</f>
        <v>118.56592844442659</v>
      </c>
      <c r="L52" s="106">
        <f t="shared" si="0"/>
        <v>4.7754691640461679</v>
      </c>
      <c r="M52" s="106">
        <f t="shared" si="3"/>
        <v>-0.56296713662777087</v>
      </c>
      <c r="N52" s="107">
        <f t="shared" si="2"/>
        <v>11.477115409316113</v>
      </c>
      <c r="O52" s="106">
        <f t="shared" si="4"/>
        <v>-0.27367543304760211</v>
      </c>
      <c r="P52" s="106"/>
    </row>
    <row r="53" spans="1:16">
      <c r="A53">
        <v>1932</v>
      </c>
      <c r="B53" s="55">
        <f>Data!AA20</f>
        <v>23521.210459328326</v>
      </c>
      <c r="C53" s="55"/>
      <c r="D53" s="55">
        <f>(Data!W20-Data!V20)/(Data!S20-Data!R20)*1000</f>
        <v>16421.860641358384</v>
      </c>
      <c r="F53" s="55">
        <f>Data!Z20</f>
        <v>87415.358821057787</v>
      </c>
      <c r="G53" s="55"/>
      <c r="H53" s="55">
        <f t="shared" si="1"/>
        <v>87415.358821057787</v>
      </c>
      <c r="I53" s="34">
        <v>7.09</v>
      </c>
      <c r="J53" s="55">
        <f>I53*Data!F20</f>
        <v>112.91966574306095</v>
      </c>
      <c r="L53" s="106">
        <f t="shared" si="0"/>
        <v>4.7266766432592364</v>
      </c>
      <c r="M53" s="106">
        <f t="shared" si="3"/>
        <v>-4.8792520786931526E-2</v>
      </c>
      <c r="N53" s="107">
        <f t="shared" si="2"/>
        <v>11.378426276422934</v>
      </c>
      <c r="O53" s="106">
        <f t="shared" si="4"/>
        <v>-9.8689132893179377E-2</v>
      </c>
      <c r="P53" s="106"/>
    </row>
    <row r="54" spans="1:16">
      <c r="A54">
        <v>1933</v>
      </c>
      <c r="B54" s="55">
        <f>Data!AA21</f>
        <v>18294.752840247544</v>
      </c>
      <c r="C54" s="55"/>
      <c r="D54" s="55">
        <f>(Data!W21-Data!V21)/(Data!S21-Data!R21)*1000</f>
        <v>13310.693316347904</v>
      </c>
      <c r="F54" s="55">
        <f>Data!Z21</f>
        <v>63151.288555344312</v>
      </c>
      <c r="G54" s="55"/>
      <c r="H54" s="55">
        <f t="shared" si="1"/>
        <v>63151.288555344312</v>
      </c>
      <c r="I54" s="34">
        <v>10.54</v>
      </c>
      <c r="J54" s="55">
        <f>I54*Data!F21</f>
        <v>176.95202705463322</v>
      </c>
      <c r="L54" s="106">
        <f t="shared" si="0"/>
        <v>5.1758786622479453</v>
      </c>
      <c r="M54" s="106">
        <f t="shared" si="3"/>
        <v>0.44920201898870893</v>
      </c>
      <c r="N54" s="107">
        <f t="shared" si="2"/>
        <v>11.053288532247334</v>
      </c>
      <c r="O54" s="106">
        <f t="shared" si="4"/>
        <v>-0.32513774417559915</v>
      </c>
      <c r="P54" s="106"/>
    </row>
    <row r="55" spans="1:16">
      <c r="A55">
        <v>1934</v>
      </c>
      <c r="B55" s="55">
        <f>Data!AA22</f>
        <v>22908.2409694489</v>
      </c>
      <c r="C55" s="55"/>
      <c r="D55" s="55">
        <f>(Data!W22-Data!V22)/(Data!S22-Data!R22)*1000</f>
        <v>14519.146416131838</v>
      </c>
      <c r="F55" s="55">
        <f>Data!Z22</f>
        <v>98410.091949302456</v>
      </c>
      <c r="G55" s="55"/>
      <c r="H55" s="55">
        <f t="shared" si="1"/>
        <v>98410.091949302456</v>
      </c>
      <c r="I55" s="34">
        <v>9.26</v>
      </c>
      <c r="J55" s="55">
        <f>I55*Data!F22</f>
        <v>150.42266226370759</v>
      </c>
      <c r="L55" s="106">
        <f t="shared" si="0"/>
        <v>5.0134490801095213</v>
      </c>
      <c r="M55" s="106">
        <f t="shared" si="3"/>
        <v>-0.16242958213842407</v>
      </c>
      <c r="N55" s="107">
        <f t="shared" si="2"/>
        <v>11.49689863824177</v>
      </c>
      <c r="O55" s="106">
        <f t="shared" si="4"/>
        <v>0.44361010599443595</v>
      </c>
      <c r="P55" s="106"/>
    </row>
    <row r="56" spans="1:16">
      <c r="A56">
        <v>1935</v>
      </c>
      <c r="B56" s="55">
        <f>Data!AA23</f>
        <v>25132.608981051624</v>
      </c>
      <c r="C56" s="55"/>
      <c r="D56" s="55">
        <f>(Data!W23-Data!V23)/(Data!S23-Data!R23)*1000</f>
        <v>15530.989429429106</v>
      </c>
      <c r="F56" s="55">
        <f>Data!Z23</f>
        <v>111547.18494565428</v>
      </c>
      <c r="G56" s="55"/>
      <c r="H56" s="55">
        <f t="shared" si="1"/>
        <v>111547.18494565428</v>
      </c>
      <c r="I56" s="34">
        <v>13.76</v>
      </c>
      <c r="J56" s="55">
        <f>I56*Data!F23</f>
        <v>218.08373112310889</v>
      </c>
      <c r="L56" s="106">
        <f t="shared" si="0"/>
        <v>5.384879076766965</v>
      </c>
      <c r="M56" s="106">
        <f t="shared" si="3"/>
        <v>0.3714299966574437</v>
      </c>
      <c r="N56" s="107">
        <f t="shared" si="2"/>
        <v>11.62220296373458</v>
      </c>
      <c r="O56" s="106">
        <f t="shared" si="4"/>
        <v>0.12530432549280945</v>
      </c>
      <c r="P56" s="106"/>
    </row>
    <row r="57" spans="1:16">
      <c r="A57">
        <v>1936</v>
      </c>
      <c r="B57" s="55">
        <f>Data!AA24</f>
        <v>33381.621864431319</v>
      </c>
      <c r="C57" s="55"/>
      <c r="D57" s="55">
        <f>(Data!W24-Data!V24)/(Data!S24-Data!R24)*1000</f>
        <v>19613.063524377103</v>
      </c>
      <c r="F57" s="55">
        <f>Data!Z24</f>
        <v>157298.64692491925</v>
      </c>
      <c r="G57" s="55"/>
      <c r="H57" s="55">
        <f t="shared" si="1"/>
        <v>157298.64692491925</v>
      </c>
      <c r="I57" s="34">
        <v>17.59</v>
      </c>
      <c r="J57" s="55">
        <f>I57*Data!F24</f>
        <v>276.09872396280554</v>
      </c>
      <c r="L57" s="106">
        <f t="shared" si="0"/>
        <v>5.6207584972767712</v>
      </c>
      <c r="M57" s="106">
        <f t="shared" si="3"/>
        <v>0.23587942050980626</v>
      </c>
      <c r="N57" s="107">
        <f t="shared" si="2"/>
        <v>11.965901487133463</v>
      </c>
      <c r="O57" s="106">
        <f t="shared" si="4"/>
        <v>0.34369852339888318</v>
      </c>
      <c r="P57" s="106"/>
    </row>
    <row r="58" spans="1:16">
      <c r="A58">
        <v>1937</v>
      </c>
      <c r="B58" s="55">
        <f>Data!AA25</f>
        <v>32812.545224886984</v>
      </c>
      <c r="C58" s="55"/>
      <c r="D58" s="55">
        <f>(Data!W25-Data!V25)/(Data!S25-Data!R25)*1000</f>
        <v>19490.113109404461</v>
      </c>
      <c r="F58" s="55">
        <f>Data!Z25</f>
        <v>152714.43426422979</v>
      </c>
      <c r="G58" s="55"/>
      <c r="H58" s="55">
        <f t="shared" si="1"/>
        <v>152714.43426422979</v>
      </c>
      <c r="I58" s="34">
        <v>11.31</v>
      </c>
      <c r="J58" s="55">
        <f>I58*Data!F25</f>
        <v>171.33291586498959</v>
      </c>
      <c r="L58" s="106">
        <f t="shared" si="0"/>
        <v>5.1436085401984233</v>
      </c>
      <c r="M58" s="106">
        <f t="shared" si="3"/>
        <v>-0.47714995707834795</v>
      </c>
      <c r="N58" s="107">
        <f t="shared" si="2"/>
        <v>11.936325013682554</v>
      </c>
      <c r="O58" s="106">
        <f t="shared" si="4"/>
        <v>-2.9576473450909191E-2</v>
      </c>
      <c r="P58" s="106"/>
    </row>
    <row r="59" spans="1:16">
      <c r="A59">
        <v>1938</v>
      </c>
      <c r="B59" s="55">
        <f>Data!AA26</f>
        <v>23201.726648375243</v>
      </c>
      <c r="C59" s="55"/>
      <c r="D59" s="55">
        <f>(Data!W26-Data!V26)/(Data!S26-Data!R26)*1000</f>
        <v>15234.240894266823</v>
      </c>
      <c r="F59" s="55">
        <f>Data!Z26</f>
        <v>94909.098435351043</v>
      </c>
      <c r="G59" s="55"/>
      <c r="H59" s="55">
        <f t="shared" si="1"/>
        <v>94909.098435351043</v>
      </c>
      <c r="I59" s="34">
        <v>12.5</v>
      </c>
      <c r="J59" s="55">
        <f>I59*Data!F26</f>
        <v>192.94974936710778</v>
      </c>
      <c r="L59" s="106">
        <f t="shared" si="0"/>
        <v>5.2624297890302465</v>
      </c>
      <c r="M59" s="106">
        <f t="shared" si="3"/>
        <v>0.11882124883182321</v>
      </c>
      <c r="N59" s="107">
        <f t="shared" si="2"/>
        <v>11.460674853926022</v>
      </c>
      <c r="O59" s="106">
        <f t="shared" si="4"/>
        <v>-0.47565015975653147</v>
      </c>
      <c r="P59" s="106"/>
    </row>
    <row r="60" spans="1:16">
      <c r="A60">
        <v>1939</v>
      </c>
      <c r="B60" s="55">
        <f>Data!AA27</f>
        <v>30516.880084774486</v>
      </c>
      <c r="C60" s="55"/>
      <c r="D60" s="55">
        <f>(Data!W27-Data!V27)/(Data!S27-Data!R27)*1000</f>
        <v>18539.592254943269</v>
      </c>
      <c r="F60" s="55">
        <f>Data!Z27</f>
        <v>138312.47055325544</v>
      </c>
      <c r="G60" s="55"/>
      <c r="H60" s="55">
        <f t="shared" si="1"/>
        <v>138312.47055325544</v>
      </c>
      <c r="I60" s="34">
        <v>12.3</v>
      </c>
      <c r="J60" s="55">
        <f>I60*Data!F27</f>
        <v>192.60095558940569</v>
      </c>
      <c r="L60" s="106">
        <f t="shared" si="0"/>
        <v>5.2606204608751108</v>
      </c>
      <c r="M60" s="106">
        <f t="shared" si="3"/>
        <v>-1.809328155135681E-3</v>
      </c>
      <c r="N60" s="107">
        <f t="shared" si="2"/>
        <v>11.837270683893287</v>
      </c>
      <c r="O60" s="106">
        <f t="shared" si="4"/>
        <v>0.37659582996726471</v>
      </c>
      <c r="P60" s="106"/>
    </row>
    <row r="61" spans="1:16">
      <c r="A61">
        <v>1940</v>
      </c>
      <c r="B61" s="55">
        <f>Data!AA28</f>
        <v>33173.28066501912</v>
      </c>
      <c r="C61" s="55"/>
      <c r="D61" s="55">
        <f>(Data!W28-Data!V28)/(Data!S28-Data!R28)*1000</f>
        <v>20233.727891142727</v>
      </c>
      <c r="F61" s="55">
        <f>Data!Z28</f>
        <v>149629.25562990669</v>
      </c>
      <c r="G61" s="55"/>
      <c r="H61" s="55">
        <f t="shared" si="1"/>
        <v>149629.25562990669</v>
      </c>
      <c r="I61" s="34">
        <v>10.55</v>
      </c>
      <c r="J61" s="55">
        <f>I61*Data!F28</f>
        <v>163.62506269662865</v>
      </c>
      <c r="L61" s="106">
        <f t="shared" si="0"/>
        <v>5.0975776074026635</v>
      </c>
      <c r="M61" s="106">
        <f t="shared" si="3"/>
        <v>-0.16304285347244729</v>
      </c>
      <c r="N61" s="107">
        <f t="shared" si="2"/>
        <v>11.915915884426781</v>
      </c>
      <c r="O61" s="106">
        <f t="shared" si="4"/>
        <v>7.8645200533493664E-2</v>
      </c>
      <c r="P61" s="106"/>
    </row>
    <row r="62" spans="1:16">
      <c r="A62">
        <v>1941</v>
      </c>
      <c r="B62" s="55">
        <f>Data!AA29</f>
        <v>32900.968572510741</v>
      </c>
      <c r="C62" s="55"/>
      <c r="D62" s="55">
        <f>(Data!W29-Data!V29)/(Data!S29-Data!R29)*1000</f>
        <v>20540.484274482325</v>
      </c>
      <c r="F62" s="55">
        <f>Data!Z29</f>
        <v>144145.32725476645</v>
      </c>
      <c r="G62" s="55"/>
      <c r="H62" s="55">
        <f t="shared" si="1"/>
        <v>144145.32725476645</v>
      </c>
      <c r="I62" s="34">
        <v>8.93</v>
      </c>
      <c r="J62" s="55">
        <f>I62*Data!F29</f>
        <v>131.90447392289718</v>
      </c>
      <c r="L62" s="106">
        <f t="shared" si="0"/>
        <v>4.8820779781995638</v>
      </c>
      <c r="M62" s="106">
        <f t="shared" si="3"/>
        <v>-0.21549962920309973</v>
      </c>
      <c r="N62" s="107">
        <f t="shared" si="2"/>
        <v>11.87857728668798</v>
      </c>
      <c r="O62" s="106">
        <f t="shared" si="4"/>
        <v>-3.7338597738800772E-2</v>
      </c>
      <c r="P62" s="106"/>
    </row>
    <row r="63" spans="1:16">
      <c r="A63">
        <v>1942</v>
      </c>
      <c r="B63" s="55">
        <f>Data!AA30</f>
        <v>29800.52388760195</v>
      </c>
      <c r="C63" s="55"/>
      <c r="D63" s="55">
        <f>(Data!W30-Data!V30)/(Data!S30-Data!R30)*1000</f>
        <v>20048.759283086074</v>
      </c>
      <c r="F63" s="55">
        <f>Data!Z30</f>
        <v>117566.40532824479</v>
      </c>
      <c r="G63" s="55"/>
      <c r="H63" s="55">
        <f t="shared" si="1"/>
        <v>117566.40532824479</v>
      </c>
      <c r="I63" s="34">
        <v>10.09</v>
      </c>
      <c r="J63" s="55">
        <f>I63*Data!F30</f>
        <v>134.68461865740286</v>
      </c>
      <c r="L63" s="106">
        <f t="shared" si="0"/>
        <v>4.902935887270373</v>
      </c>
      <c r="M63" s="106">
        <f t="shared" si="3"/>
        <v>2.08579090708092E-2</v>
      </c>
      <c r="N63" s="107">
        <f t="shared" si="2"/>
        <v>11.674758604657999</v>
      </c>
      <c r="O63" s="106">
        <f t="shared" si="4"/>
        <v>-0.20381868202998099</v>
      </c>
      <c r="P63" s="106"/>
    </row>
    <row r="64" spans="1:16">
      <c r="A64">
        <v>1943</v>
      </c>
      <c r="B64" s="55"/>
      <c r="C64" s="55"/>
      <c r="D64" s="55"/>
      <c r="F64" s="55"/>
      <c r="G64" s="55"/>
      <c r="H64" s="55"/>
      <c r="I64" s="34">
        <v>11.85</v>
      </c>
      <c r="J64" s="55">
        <f>I64*Data!F31</f>
        <v>149.01680488959008</v>
      </c>
      <c r="L64" s="106">
        <f t="shared" si="0"/>
        <v>5.0040590840796595</v>
      </c>
      <c r="M64" s="106"/>
      <c r="N64" s="107"/>
      <c r="O64" s="106"/>
      <c r="P64" s="106"/>
    </row>
    <row r="65" spans="1:16">
      <c r="A65">
        <v>1944</v>
      </c>
      <c r="B65" s="55">
        <f>Data!AA32</f>
        <v>31166.182386771106</v>
      </c>
      <c r="C65" s="55"/>
      <c r="D65" s="55">
        <f>(Data!W32-Data!V32)/(Data!S32-Data!R32)*1000</f>
        <v>22239.26833063201</v>
      </c>
      <c r="F65" s="55">
        <f>Data!Z32</f>
        <v>111508.4088920229</v>
      </c>
      <c r="G65" s="55"/>
      <c r="H65" s="55">
        <f t="shared" si="1"/>
        <v>111508.4088920229</v>
      </c>
      <c r="I65" s="34">
        <v>13.49</v>
      </c>
      <c r="J65" s="55">
        <f>I65*Data!F32</f>
        <v>166.74314598893108</v>
      </c>
      <c r="L65" s="106">
        <f t="shared" si="0"/>
        <v>5.1164545804363044</v>
      </c>
      <c r="M65" s="108">
        <f>L65-L63</f>
        <v>0.21351869316593142</v>
      </c>
      <c r="N65" s="107">
        <f t="shared" si="2"/>
        <v>11.621855283110616</v>
      </c>
      <c r="O65" s="108">
        <f>N65-N63</f>
        <v>-5.2903321547383086E-2</v>
      </c>
      <c r="P65" s="106"/>
    </row>
    <row r="66" spans="1:16">
      <c r="A66">
        <v>1945</v>
      </c>
      <c r="B66" s="55">
        <f>Data!AA33</f>
        <v>38600.441082472251</v>
      </c>
      <c r="C66" s="55"/>
      <c r="D66" s="55">
        <f>(Data!W33-Data!V33)/(Data!S33-Data!R33)*1000</f>
        <v>28320.424500563237</v>
      </c>
      <c r="F66" s="55">
        <f>Data!Z33</f>
        <v>131120.59031965342</v>
      </c>
      <c r="G66" s="55"/>
      <c r="H66" s="55">
        <f t="shared" si="1"/>
        <v>131120.59031965342</v>
      </c>
      <c r="I66" s="34">
        <v>18.02</v>
      </c>
      <c r="J66" s="55">
        <f>I66*Data!F33</f>
        <v>217.77733463112568</v>
      </c>
      <c r="L66" s="106">
        <f t="shared" si="0"/>
        <v>5.3834731400291975</v>
      </c>
      <c r="M66" s="106">
        <f t="shared" si="3"/>
        <v>0.26701855959289311</v>
      </c>
      <c r="N66" s="107">
        <f t="shared" si="2"/>
        <v>11.783872715540381</v>
      </c>
      <c r="O66" s="106">
        <f t="shared" si="4"/>
        <v>0.16201743242976541</v>
      </c>
      <c r="P66" s="106"/>
    </row>
    <row r="67" spans="1:16">
      <c r="A67">
        <v>1946</v>
      </c>
      <c r="B67" s="55">
        <f>Data!AA34</f>
        <v>40983.469164293419</v>
      </c>
      <c r="C67" s="55"/>
      <c r="D67" s="55">
        <f>(Data!W34-Data!V34)/(Data!S34-Data!R34)*1000</f>
        <v>28676.883442015271</v>
      </c>
      <c r="F67" s="55">
        <f>Data!Z34</f>
        <v>151742.74066479673</v>
      </c>
      <c r="G67" s="55"/>
      <c r="H67" s="55">
        <f t="shared" si="1"/>
        <v>151742.74066479673</v>
      </c>
      <c r="I67" s="34">
        <v>15.21</v>
      </c>
      <c r="J67" s="55">
        <f>I67*Data!F34</f>
        <v>169.36357200447253</v>
      </c>
      <c r="L67" s="106">
        <f t="shared" si="0"/>
        <v>5.1320477177973478</v>
      </c>
      <c r="M67" s="106">
        <f t="shared" si="3"/>
        <v>-0.25142542223184972</v>
      </c>
      <c r="N67" s="107">
        <f t="shared" si="2"/>
        <v>11.929941870313225</v>
      </c>
      <c r="O67" s="106">
        <f t="shared" si="4"/>
        <v>0.1460691547728441</v>
      </c>
      <c r="P67" s="106"/>
    </row>
    <row r="68" spans="1:16">
      <c r="A68">
        <v>1947</v>
      </c>
      <c r="B68" s="55">
        <f>Data!AA35</f>
        <v>41620.517424514022</v>
      </c>
      <c r="C68" s="55"/>
      <c r="D68" s="55">
        <f>(Data!W35-Data!V35)/(Data!S35-Data!R35)*1000</f>
        <v>30744.239887325515</v>
      </c>
      <c r="F68" s="55">
        <f>Data!Z35</f>
        <v>139507.01525921066</v>
      </c>
      <c r="G68" s="55"/>
      <c r="H68" s="55">
        <f t="shared" si="1"/>
        <v>139507.01525921066</v>
      </c>
      <c r="I68" s="34">
        <v>14.83</v>
      </c>
      <c r="J68" s="55">
        <f>I68*Data!F35</f>
        <v>144.39817022112953</v>
      </c>
      <c r="L68" s="106">
        <f t="shared" si="0"/>
        <v>4.9725745547796141</v>
      </c>
      <c r="M68" s="106">
        <f t="shared" si="3"/>
        <v>-0.15947316301773373</v>
      </c>
      <c r="N68" s="107">
        <f t="shared" si="2"/>
        <v>11.845870167575621</v>
      </c>
      <c r="O68" s="106">
        <f t="shared" si="4"/>
        <v>-8.4071702737604781E-2</v>
      </c>
      <c r="P68" s="106"/>
    </row>
    <row r="69" spans="1:16">
      <c r="A69">
        <v>1948</v>
      </c>
      <c r="B69" s="55">
        <f>Data!AA36</f>
        <v>36835.979993798712</v>
      </c>
      <c r="C69" s="55"/>
      <c r="D69" s="55">
        <f>(Data!W36-Data!V36)/(Data!S36-Data!R36)*1000</f>
        <v>23493.508256495501</v>
      </c>
      <c r="F69" s="55">
        <f>Data!Z36</f>
        <v>156918.22562952759</v>
      </c>
      <c r="G69" s="55"/>
      <c r="H69" s="55">
        <f t="shared" si="1"/>
        <v>156918.22562952759</v>
      </c>
      <c r="I69" s="34">
        <v>15.36</v>
      </c>
      <c r="J69" s="55">
        <f>I69*Data!F36</f>
        <v>138.77224293122256</v>
      </c>
      <c r="L69" s="106">
        <f t="shared" si="0"/>
        <v>4.9328340491925795</v>
      </c>
      <c r="M69" s="106">
        <f t="shared" si="3"/>
        <v>-3.9740505587034569E-2</v>
      </c>
      <c r="N69" s="107">
        <f t="shared" si="2"/>
        <v>11.963480092775029</v>
      </c>
      <c r="O69" s="106">
        <f t="shared" si="4"/>
        <v>0.11760992519940849</v>
      </c>
      <c r="P69" s="106"/>
    </row>
    <row r="70" spans="1:16">
      <c r="A70">
        <v>1949</v>
      </c>
      <c r="B70" s="55">
        <f>Data!AA37</f>
        <v>36228.673647804419</v>
      </c>
      <c r="C70" s="55"/>
      <c r="D70" s="55">
        <f>(Data!W37-Data!V37)/(Data!S37-Data!R37)*1000</f>
        <v>25011.936825487181</v>
      </c>
      <c r="F70" s="55">
        <f>Data!Z37</f>
        <v>137179.3050486595</v>
      </c>
      <c r="G70" s="55"/>
      <c r="H70" s="55">
        <f t="shared" si="1"/>
        <v>137179.3050486595</v>
      </c>
      <c r="I70" s="34">
        <v>16.88</v>
      </c>
      <c r="J70" s="55">
        <f>I70*Data!F37</f>
        <v>154.00005900859165</v>
      </c>
      <c r="L70" s="106">
        <f t="shared" si="0"/>
        <v>5.0369529855862289</v>
      </c>
      <c r="M70" s="106">
        <f t="shared" si="3"/>
        <v>0.10411893639364944</v>
      </c>
      <c r="N70" s="107">
        <f t="shared" si="2"/>
        <v>11.829044145058992</v>
      </c>
      <c r="O70" s="106">
        <f t="shared" si="4"/>
        <v>-0.13443594771603706</v>
      </c>
      <c r="P70" s="106"/>
    </row>
    <row r="71" spans="1:16">
      <c r="A71">
        <v>1950</v>
      </c>
      <c r="B71" s="55">
        <f>Data!AA38</f>
        <v>39841.050833990012</v>
      </c>
      <c r="C71" s="55"/>
      <c r="D71" s="55">
        <f>(Data!W38-Data!V38)/(Data!S38-Data!R38)*1000</f>
        <v>30216.054022568565</v>
      </c>
      <c r="F71" s="55">
        <f>Data!Z38</f>
        <v>126466.02213678311</v>
      </c>
      <c r="G71" s="55"/>
      <c r="H71" s="55">
        <f t="shared" si="1"/>
        <v>126466.02213678311</v>
      </c>
      <c r="I71" s="34">
        <v>21.21</v>
      </c>
      <c r="J71" s="55">
        <f>I71*Data!F38</f>
        <v>191.62495264135617</v>
      </c>
      <c r="L71" s="106">
        <f t="shared" si="0"/>
        <v>5.255540090049645</v>
      </c>
      <c r="M71" s="106">
        <f t="shared" si="3"/>
        <v>0.218587104463416</v>
      </c>
      <c r="N71" s="107">
        <f t="shared" si="2"/>
        <v>11.747728951361125</v>
      </c>
      <c r="O71" s="106">
        <f t="shared" si="4"/>
        <v>-8.1315193697866661E-2</v>
      </c>
      <c r="P71" s="106"/>
    </row>
    <row r="72" spans="1:16">
      <c r="A72">
        <v>1951</v>
      </c>
      <c r="B72" s="55"/>
      <c r="C72" s="55"/>
      <c r="D72" s="55"/>
      <c r="F72" s="55"/>
      <c r="G72" s="55"/>
      <c r="H72" s="55"/>
      <c r="I72" s="34">
        <v>24.19</v>
      </c>
      <c r="J72" s="55">
        <f>I72*Data!F39</f>
        <v>202.53632622049591</v>
      </c>
      <c r="L72" s="106">
        <f t="shared" si="0"/>
        <v>5.3109192592015466</v>
      </c>
      <c r="M72" s="106"/>
      <c r="N72" s="107"/>
      <c r="O72" s="106"/>
      <c r="P72" s="106"/>
    </row>
    <row r="73" spans="1:16">
      <c r="A73">
        <v>1952</v>
      </c>
      <c r="B73" s="55">
        <f>Data!AA40</f>
        <v>42122.498894499993</v>
      </c>
      <c r="C73" s="55"/>
      <c r="D73" s="55">
        <f>(Data!W40-Data!V40)/(Data!S40-Data!R40)*1000</f>
        <v>28761.662906749487</v>
      </c>
      <c r="F73" s="55">
        <f>Data!Z40</f>
        <v>162370.02278425457</v>
      </c>
      <c r="G73" s="55"/>
      <c r="H73" s="55">
        <f t="shared" si="1"/>
        <v>162370.02278425457</v>
      </c>
      <c r="I73" s="34">
        <v>26.18</v>
      </c>
      <c r="J73" s="55">
        <f>I73*Data!F40</f>
        <v>214.51080382569378</v>
      </c>
      <c r="L73" s="106">
        <f t="shared" si="0"/>
        <v>5.3683601045854248</v>
      </c>
      <c r="M73" s="108">
        <f>L73-L71</f>
        <v>0.11282001453577983</v>
      </c>
      <c r="N73" s="107">
        <f t="shared" ref="N73" si="5">LN(H73)</f>
        <v>11.997633100904206</v>
      </c>
      <c r="O73" s="108">
        <f>N73-N71</f>
        <v>0.24990414954308093</v>
      </c>
      <c r="P73" s="106"/>
    </row>
    <row r="74" spans="1:16">
      <c r="A74">
        <v>1953</v>
      </c>
      <c r="B74" s="55">
        <f>Data!AA41</f>
        <v>41960.822692996611</v>
      </c>
      <c r="C74" s="55"/>
      <c r="D74" s="55">
        <f>(Data!W41-Data!V41)/(Data!S41-Data!R41)*1000</f>
        <v>29077.507356340004</v>
      </c>
      <c r="F74" s="55">
        <f>Data!Z41</f>
        <v>157910.66072290609</v>
      </c>
      <c r="G74" s="55"/>
      <c r="H74" s="55">
        <f t="shared" si="1"/>
        <v>157910.66072290609</v>
      </c>
      <c r="I74" s="34">
        <v>25.46</v>
      </c>
      <c r="J74" s="55">
        <f>I74*Data!F41</f>
        <v>207.04871522298427</v>
      </c>
      <c r="L74" s="106">
        <f t="shared" si="0"/>
        <v>5.3329541048189038</v>
      </c>
      <c r="M74" s="106">
        <f t="shared" si="3"/>
        <v>-3.5405999766521035E-2</v>
      </c>
      <c r="N74" s="107">
        <f t="shared" si="2"/>
        <v>11.96978471362587</v>
      </c>
      <c r="O74" s="106">
        <f t="shared" si="4"/>
        <v>-2.7848387278336162E-2</v>
      </c>
      <c r="P74" s="106"/>
    </row>
    <row r="75" spans="1:16">
      <c r="A75">
        <v>1954</v>
      </c>
      <c r="B75" s="55">
        <f>Data!AA42</f>
        <v>49291.324208549464</v>
      </c>
      <c r="C75" s="55"/>
      <c r="D75" s="55">
        <f>(Data!W42-Data!V42)/(Data!S42-Data!R42)*1000</f>
        <v>30303.684859887388</v>
      </c>
      <c r="F75" s="55">
        <f>Data!Z42</f>
        <v>220180.07834650812</v>
      </c>
      <c r="G75" s="55"/>
      <c r="H75" s="55">
        <f t="shared" si="1"/>
        <v>220180.07834650812</v>
      </c>
      <c r="I75" s="34">
        <v>35.6</v>
      </c>
      <c r="J75" s="55">
        <f>I75*Data!F42</f>
        <v>288.07181860292502</v>
      </c>
      <c r="L75" s="106">
        <f t="shared" si="0"/>
        <v>5.6632098191974238</v>
      </c>
      <c r="M75" s="106">
        <f t="shared" si="3"/>
        <v>0.33025571437852008</v>
      </c>
      <c r="N75" s="107">
        <f t="shared" si="2"/>
        <v>12.302201028453689</v>
      </c>
      <c r="O75" s="106">
        <f t="shared" si="4"/>
        <v>0.33241631482781919</v>
      </c>
      <c r="P75" s="106"/>
    </row>
    <row r="76" spans="1:16">
      <c r="A76">
        <v>1955</v>
      </c>
      <c r="B76" s="55"/>
      <c r="C76" s="55"/>
      <c r="D76" s="55"/>
      <c r="F76" s="55"/>
      <c r="G76" s="55"/>
      <c r="H76" s="55"/>
      <c r="I76" s="34">
        <v>44.15</v>
      </c>
      <c r="J76" s="55">
        <f>I76*Data!F43</f>
        <v>358.59398158437853</v>
      </c>
      <c r="L76" s="106">
        <f t="shared" si="0"/>
        <v>5.8821907779414566</v>
      </c>
      <c r="M76" s="106"/>
      <c r="N76" s="107"/>
      <c r="O76" s="106"/>
      <c r="P76" s="106"/>
    </row>
    <row r="77" spans="1:16">
      <c r="A77">
        <v>1956</v>
      </c>
      <c r="B77" s="55">
        <f>Data!AA44</f>
        <v>58568.613618697207</v>
      </c>
      <c r="C77" s="55"/>
      <c r="D77" s="55">
        <f>(Data!W44-Data!V44)/(Data!S44-Data!R44)*1000</f>
        <v>34378.784960570047</v>
      </c>
      <c r="F77" s="55">
        <f>Data!Z44</f>
        <v>276277.07154184155</v>
      </c>
      <c r="G77" s="55"/>
      <c r="H77" s="55">
        <f t="shared" si="1"/>
        <v>276277.07154184155</v>
      </c>
      <c r="I77" s="34">
        <v>45.43</v>
      </c>
      <c r="J77" s="55">
        <f>I77*Data!F44</f>
        <v>363.55070289941341</v>
      </c>
      <c r="L77" s="106">
        <f t="shared" si="0"/>
        <v>5.8959187725267741</v>
      </c>
      <c r="M77" s="108">
        <f>L77-L75</f>
        <v>0.23270895332935027</v>
      </c>
      <c r="N77" s="107">
        <f t="shared" ref="N77" si="6">LN(H77)</f>
        <v>12.529159523544307</v>
      </c>
      <c r="O77" s="108">
        <f>N77-N75</f>
        <v>0.22695849509061716</v>
      </c>
      <c r="P77" s="106"/>
    </row>
    <row r="78" spans="1:16">
      <c r="A78">
        <v>1957</v>
      </c>
      <c r="B78" s="55"/>
      <c r="C78" s="55"/>
      <c r="D78" s="55"/>
      <c r="F78" s="55"/>
      <c r="G78" s="55"/>
      <c r="H78" s="55"/>
      <c r="I78" s="34">
        <v>41.12</v>
      </c>
      <c r="J78" s="55">
        <f>I78*Data!F45</f>
        <v>317.74021721069028</v>
      </c>
      <c r="L78" s="106">
        <f t="shared" si="0"/>
        <v>5.7612341219030565</v>
      </c>
      <c r="M78" s="106"/>
      <c r="N78" s="107"/>
      <c r="O78" s="106"/>
      <c r="P78" s="106"/>
    </row>
    <row r="79" spans="1:16">
      <c r="A79">
        <v>1958</v>
      </c>
      <c r="B79" s="55">
        <f>Data!AA46</f>
        <v>61040.229720722629</v>
      </c>
      <c r="C79" s="55"/>
      <c r="D79" s="55">
        <f>(Data!W46-Data!V46)/(Data!S46-Data!R46)*1000</f>
        <v>35191.46970724938</v>
      </c>
      <c r="F79" s="55">
        <f>Data!Z46</f>
        <v>293679.06984198181</v>
      </c>
      <c r="G79" s="55"/>
      <c r="H79" s="55">
        <f t="shared" si="1"/>
        <v>293679.06984198181</v>
      </c>
      <c r="I79" s="34">
        <v>55.62</v>
      </c>
      <c r="J79" s="55">
        <f>I79*Data!F46</f>
        <v>418.36924297782735</v>
      </c>
      <c r="L79" s="106">
        <f t="shared" si="0"/>
        <v>6.0363643990013856</v>
      </c>
      <c r="M79" s="108">
        <f>L79-L77</f>
        <v>0.14044562647461145</v>
      </c>
      <c r="N79" s="107">
        <f t="shared" ref="N79" si="7">LN(H79)</f>
        <v>12.590242850915571</v>
      </c>
      <c r="O79" s="108">
        <f>N79-N77</f>
        <v>6.1083327371264318E-2</v>
      </c>
      <c r="P79" s="106"/>
    </row>
    <row r="80" spans="1:16">
      <c r="A80">
        <v>1959</v>
      </c>
      <c r="B80" s="55"/>
      <c r="C80" s="55"/>
      <c r="D80" s="55"/>
      <c r="F80" s="55"/>
      <c r="G80" s="55"/>
      <c r="H80" s="55"/>
      <c r="I80" s="34">
        <v>58.03</v>
      </c>
      <c r="J80" s="55">
        <f>I80*Data!F47</f>
        <v>433.49709257658799</v>
      </c>
      <c r="L80" s="106">
        <f t="shared" si="0"/>
        <v>6.0718850893390233</v>
      </c>
      <c r="M80" s="106"/>
      <c r="N80" s="107"/>
      <c r="O80" s="106"/>
      <c r="P80" s="106"/>
    </row>
    <row r="81" spans="1:16">
      <c r="A81">
        <v>1960</v>
      </c>
      <c r="B81" s="55">
        <f>Data!AA48</f>
        <v>61592.081074204776</v>
      </c>
      <c r="C81" s="55">
        <f>Data!AI48</f>
        <v>67120.833152120409</v>
      </c>
      <c r="D81" s="55">
        <f>(Data!W48-Data!V48)/(Data!S48-Data!R48)*1000</f>
        <v>27039.733337446858</v>
      </c>
      <c r="E81" s="55">
        <f>(Data!AE48-Data!AD48)/(Data!S48-Data!R48)*1000</f>
        <v>33554.607680221619</v>
      </c>
      <c r="F81" s="55">
        <f>Data!Z48</f>
        <v>372563.21070502599</v>
      </c>
      <c r="G81" s="55">
        <f>Data!AH48</f>
        <v>369216.86239920947</v>
      </c>
      <c r="H81" s="55">
        <f>G81</f>
        <v>369216.86239920947</v>
      </c>
      <c r="I81" s="34">
        <v>59.72</v>
      </c>
      <c r="J81" s="55">
        <f>I81*Data!F48</f>
        <v>438.58593023203781</v>
      </c>
      <c r="K81" s="78"/>
      <c r="L81" s="106">
        <f t="shared" si="0"/>
        <v>6.0835557566549285</v>
      </c>
      <c r="M81" s="108">
        <f>L81-L79</f>
        <v>4.7191357653542987E-2</v>
      </c>
      <c r="N81" s="107">
        <f t="shared" ref="N81" si="8">LN(H81)</f>
        <v>12.81913945337179</v>
      </c>
      <c r="O81" s="108">
        <f>N81-N79</f>
        <v>0.2288966024562189</v>
      </c>
      <c r="P81" s="106"/>
    </row>
    <row r="82" spans="1:16">
      <c r="A82">
        <v>1961</v>
      </c>
      <c r="B82" s="55"/>
      <c r="C82" s="55"/>
      <c r="D82" s="55"/>
      <c r="E82" s="55"/>
      <c r="F82" s="55"/>
      <c r="G82" s="55"/>
      <c r="H82" s="55"/>
      <c r="I82" s="34">
        <v>69.069999999999993</v>
      </c>
      <c r="J82" s="55">
        <f>I82*Data!F49</f>
        <v>502.16319073925541</v>
      </c>
      <c r="K82" s="78"/>
      <c r="L82" s="106">
        <f t="shared" si="0"/>
        <v>6.2189251480181946</v>
      </c>
      <c r="M82" s="106"/>
      <c r="N82" s="107"/>
      <c r="O82" s="106"/>
      <c r="P82" s="106"/>
    </row>
    <row r="83" spans="1:16">
      <c r="A83">
        <v>1962</v>
      </c>
      <c r="B83" s="55">
        <f>Data!AA50</f>
        <v>66917.105710975855</v>
      </c>
      <c r="C83" s="55">
        <f>Data!AI50</f>
        <v>69418.903964235607</v>
      </c>
      <c r="D83" s="55">
        <f>(Data!W50-Data!V50)/(Data!S50-Data!R50)*1000</f>
        <v>31685.3820092282</v>
      </c>
      <c r="E83" s="55">
        <f>(Data!AE50-Data!AD50)/(Data!S50-Data!R50)*1000</f>
        <v>35028.590260759302</v>
      </c>
      <c r="F83" s="55">
        <f>Data!Z50</f>
        <v>384002.61902670463</v>
      </c>
      <c r="G83" s="55">
        <f>Data!AH50</f>
        <v>378931.72729552246</v>
      </c>
      <c r="H83" s="55">
        <f>G83</f>
        <v>378931.72729552246</v>
      </c>
      <c r="I83" s="34">
        <v>65.06</v>
      </c>
      <c r="J83" s="55">
        <f>I83*Data!F50</f>
        <v>468.31031479050858</v>
      </c>
      <c r="K83" s="78"/>
      <c r="L83" s="106">
        <f t="shared" si="0"/>
        <v>6.1491311419783354</v>
      </c>
      <c r="M83" s="108">
        <f>L83-L81</f>
        <v>6.5575385323406898E-2</v>
      </c>
      <c r="N83" s="107">
        <f t="shared" ref="N83" si="9">LN(H83)</f>
        <v>12.845111328775628</v>
      </c>
      <c r="O83" s="108">
        <f>N83-N81</f>
        <v>2.5971875403838496E-2</v>
      </c>
      <c r="P83" s="106"/>
    </row>
    <row r="84" spans="1:16">
      <c r="A84">
        <v>1963</v>
      </c>
      <c r="B84" s="55"/>
      <c r="C84" s="55"/>
      <c r="D84" s="55"/>
      <c r="E84" s="55"/>
      <c r="F84" s="55"/>
      <c r="G84" s="55"/>
      <c r="H84" s="55"/>
      <c r="I84" s="34">
        <v>76.45</v>
      </c>
      <c r="J84" s="55">
        <f>I84*Data!F51</f>
        <v>543.10358647582132</v>
      </c>
      <c r="K84" s="78"/>
      <c r="L84" s="106">
        <f t="shared" si="0"/>
        <v>6.2973000687306895</v>
      </c>
      <c r="M84" s="106"/>
      <c r="N84" s="107"/>
      <c r="O84" s="106"/>
      <c r="P84" s="106"/>
    </row>
    <row r="85" spans="1:16">
      <c r="A85">
        <v>1964</v>
      </c>
      <c r="B85" s="55">
        <f>Data!AA52</f>
        <v>72848.359203132975</v>
      </c>
      <c r="C85" s="55">
        <f>Data!AI52</f>
        <v>74795.559220665833</v>
      </c>
      <c r="D85" s="55">
        <f>(Data!W52-Data!V52)/(Data!S52-Data!R52)*1000</f>
        <v>37234.291629449144</v>
      </c>
      <c r="E85" s="55">
        <f>(Data!AE52-Data!AD52)/(Data!S52-Data!R52)*1000</f>
        <v>37055.244186997137</v>
      </c>
      <c r="F85" s="55">
        <f>Data!Z52</f>
        <v>393374.96736628737</v>
      </c>
      <c r="G85" s="55">
        <f>Data!AH52</f>
        <v>414458.39452368399</v>
      </c>
      <c r="H85" s="55">
        <f>G85</f>
        <v>414458.39452368399</v>
      </c>
      <c r="I85" s="34">
        <v>86.12</v>
      </c>
      <c r="J85" s="55">
        <f>I85*Data!F52</f>
        <v>603.90543029992648</v>
      </c>
      <c r="K85" s="78"/>
      <c r="L85" s="106">
        <f t="shared" si="0"/>
        <v>6.4034176133249696</v>
      </c>
      <c r="M85" s="108">
        <f>L85-L83</f>
        <v>0.25428647134663418</v>
      </c>
      <c r="N85" s="107">
        <f t="shared" ref="N85" si="10">LN(H85)</f>
        <v>12.934727873425924</v>
      </c>
      <c r="O85" s="108">
        <f>N85-N83</f>
        <v>8.9616544650295893E-2</v>
      </c>
      <c r="P85" s="106"/>
    </row>
    <row r="86" spans="1:16">
      <c r="A86">
        <v>1965</v>
      </c>
      <c r="B86" s="55"/>
      <c r="C86" s="55"/>
      <c r="D86" s="55"/>
      <c r="E86" s="55"/>
      <c r="F86" s="55"/>
      <c r="G86" s="55"/>
      <c r="H86" s="55"/>
      <c r="I86" s="34">
        <v>93.32</v>
      </c>
      <c r="J86" s="55">
        <f>I86*Data!F53</f>
        <v>644.00729046338552</v>
      </c>
      <c r="K86" s="78"/>
      <c r="L86" s="106">
        <f t="shared" si="0"/>
        <v>6.4677100466355952</v>
      </c>
      <c r="M86" s="106"/>
      <c r="N86" s="107"/>
      <c r="O86" s="106"/>
      <c r="P86" s="106"/>
    </row>
    <row r="87" spans="1:16">
      <c r="A87">
        <v>1966</v>
      </c>
      <c r="B87" s="55">
        <f>Data!AA54</f>
        <v>77027.105920245958</v>
      </c>
      <c r="C87" s="55">
        <f>Data!AI54</f>
        <v>76348.398787265105</v>
      </c>
      <c r="D87" s="55">
        <f>(Data!W54-Data!V54)/(Data!S54-Data!R54)*1000</f>
        <v>38783.515455302251</v>
      </c>
      <c r="E87" s="55">
        <f>(Data!AE54-Data!AD54)/(Data!S54-Data!R54)*1000</f>
        <v>38498.710024137326</v>
      </c>
      <c r="F87" s="55">
        <f>Data!Z54</f>
        <v>421219.42010473943</v>
      </c>
      <c r="G87" s="55">
        <f>Data!AH54</f>
        <v>416995.59765541524</v>
      </c>
      <c r="H87" s="55">
        <f>G87</f>
        <v>416995.59765541524</v>
      </c>
      <c r="I87" s="34">
        <v>84.45</v>
      </c>
      <c r="J87" s="55">
        <f>I87*Data!F54</f>
        <v>566.60610705908937</v>
      </c>
      <c r="K87" s="78"/>
      <c r="L87" s="106">
        <f t="shared" si="0"/>
        <v>6.3396643657694787</v>
      </c>
      <c r="M87" s="108">
        <f>L87-L85</f>
        <v>-6.3753247555490944E-2</v>
      </c>
      <c r="N87" s="107">
        <f t="shared" ref="N87" si="11">LN(H87)</f>
        <v>12.940830943543952</v>
      </c>
      <c r="O87" s="108">
        <f>N87-N85</f>
        <v>6.1030701180282421E-3</v>
      </c>
      <c r="P87" s="106"/>
    </row>
    <row r="88" spans="1:16">
      <c r="A88">
        <v>1967</v>
      </c>
      <c r="B88" s="55"/>
      <c r="C88" s="55"/>
      <c r="D88" s="55"/>
      <c r="E88" s="55"/>
      <c r="F88" s="55"/>
      <c r="G88" s="55"/>
      <c r="H88" s="55"/>
      <c r="I88" s="34">
        <v>95.04</v>
      </c>
      <c r="J88" s="55">
        <f>I88*Data!F55</f>
        <v>618.56674538759978</v>
      </c>
      <c r="K88" s="78"/>
      <c r="L88" s="106">
        <f t="shared" si="0"/>
        <v>6.4274051009456334</v>
      </c>
      <c r="M88" s="106"/>
      <c r="N88" s="107"/>
      <c r="O88" s="106"/>
      <c r="P88" s="106"/>
    </row>
    <row r="89" spans="1:16">
      <c r="A89">
        <v>1968</v>
      </c>
      <c r="B89" s="55">
        <f>Data!AA56</f>
        <v>93776.587777653709</v>
      </c>
      <c r="C89" s="55">
        <f>Data!AI56</f>
        <v>95043.267042876134</v>
      </c>
      <c r="D89" s="55">
        <f>(Data!W56-Data!V56)/(Data!S56-Data!R56)*1000</f>
        <v>49542.111651422951</v>
      </c>
      <c r="E89" s="55">
        <f>(Data!AE56-Data!AD56)/(Data!S56-Data!R56)*1000</f>
        <v>51520.316795841558</v>
      </c>
      <c r="F89" s="55">
        <f>Data!Z56</f>
        <v>491886.87291373045</v>
      </c>
      <c r="G89" s="55">
        <f>Data!AH56</f>
        <v>486749.8192661872</v>
      </c>
      <c r="H89" s="55">
        <f>G89</f>
        <v>486749.8192661872</v>
      </c>
      <c r="I89" s="34">
        <v>102</v>
      </c>
      <c r="J89" s="55">
        <f>I89*Data!F56</f>
        <v>637.15857938414172</v>
      </c>
      <c r="K89" s="78"/>
      <c r="L89" s="106">
        <f t="shared" si="0"/>
        <v>6.4570185718177964</v>
      </c>
      <c r="M89" s="108">
        <f>L89-L87</f>
        <v>0.1173542060483177</v>
      </c>
      <c r="N89" s="107">
        <f t="shared" ref="N89" si="12">LN(H89)</f>
        <v>13.09550555192711</v>
      </c>
      <c r="O89" s="108">
        <f>N89-N87</f>
        <v>0.15467460838315716</v>
      </c>
      <c r="P89" s="106"/>
    </row>
    <row r="90" spans="1:16">
      <c r="A90">
        <v>1969</v>
      </c>
      <c r="B90" s="55"/>
      <c r="C90" s="55"/>
      <c r="D90" s="55"/>
      <c r="E90" s="55"/>
      <c r="F90" s="55"/>
      <c r="G90" s="55"/>
      <c r="H90" s="55"/>
      <c r="I90" s="34">
        <v>90.31</v>
      </c>
      <c r="J90" s="55">
        <f>I90*Data!F57</f>
        <v>534.92929886881655</v>
      </c>
      <c r="K90" s="78"/>
      <c r="L90" s="106">
        <f t="shared" si="0"/>
        <v>6.2821345865161362</v>
      </c>
      <c r="M90" s="106"/>
      <c r="N90" s="107"/>
      <c r="O90" s="106"/>
      <c r="P90" s="106"/>
    </row>
    <row r="91" spans="1:16">
      <c r="A91">
        <v>1970</v>
      </c>
      <c r="B91" s="55">
        <f>Data!AA58</f>
        <v>70064.774973233914</v>
      </c>
      <c r="C91" s="55">
        <f>Data!AI58</f>
        <v>69251.691380749544</v>
      </c>
      <c r="D91" s="55">
        <f>(Data!W58-Data!V58)/(Data!S58-Data!R58)*1000</f>
        <v>38011.631163212871</v>
      </c>
      <c r="E91" s="55">
        <f>(Data!AE58-Data!AD58)/(Data!S58-Data!R58)*1000</f>
        <v>37780.392989904474</v>
      </c>
      <c r="F91" s="55">
        <f>Data!Z58</f>
        <v>358543.06926342339</v>
      </c>
      <c r="G91" s="55">
        <f>Data!AH58</f>
        <v>352493.37689835508</v>
      </c>
      <c r="H91" s="55">
        <f>G91</f>
        <v>352493.37689835508</v>
      </c>
      <c r="I91" s="34">
        <v>93.49</v>
      </c>
      <c r="J91" s="55">
        <f>I91*Data!F58</f>
        <v>523.79342389693113</v>
      </c>
      <c r="K91" s="78"/>
      <c r="L91" s="106">
        <f t="shared" si="0"/>
        <v>6.2610973773879506</v>
      </c>
      <c r="M91" s="108">
        <f>L91-L89</f>
        <v>-0.19592119442984579</v>
      </c>
      <c r="N91" s="107">
        <f t="shared" ref="N91" si="13">LN(H91)</f>
        <v>12.772787112117109</v>
      </c>
      <c r="O91" s="108">
        <f>N91-N89</f>
        <v>-0.32271843981000004</v>
      </c>
      <c r="P91" s="106"/>
    </row>
    <row r="92" spans="1:16">
      <c r="A92">
        <v>1971</v>
      </c>
      <c r="B92" s="55"/>
      <c r="C92" s="55"/>
      <c r="D92" s="55"/>
      <c r="E92" s="55"/>
      <c r="F92" s="55"/>
      <c r="G92" s="55"/>
      <c r="H92" s="55"/>
      <c r="I92" s="34">
        <v>103.3</v>
      </c>
      <c r="J92" s="55">
        <f>I92*Data!F59</f>
        <v>554.46215141933874</v>
      </c>
      <c r="K92" s="78"/>
      <c r="L92" s="106">
        <f t="shared" si="0"/>
        <v>6.3179985473270532</v>
      </c>
      <c r="M92" s="106"/>
      <c r="N92" s="107"/>
      <c r="O92" s="106"/>
      <c r="P92" s="106"/>
    </row>
    <row r="93" spans="1:16">
      <c r="A93">
        <v>1972</v>
      </c>
      <c r="B93" s="55">
        <f>Data!AA60</f>
        <v>71055.879309281634</v>
      </c>
      <c r="C93" s="55">
        <f>Data!AI60</f>
        <v>76669.272398552203</v>
      </c>
      <c r="D93" s="55">
        <f>(Data!W60-Data!V60)/(Data!S60-Data!R60)*1000</f>
        <v>40517.284516891385</v>
      </c>
      <c r="E93" s="55">
        <f>(Data!AE60-Data!AD60)/(Data!S60-Data!R60)*1000</f>
        <v>43368.830956320504</v>
      </c>
      <c r="F93" s="55">
        <f>Data!Z60</f>
        <v>345903.23244079389</v>
      </c>
      <c r="G93" s="55">
        <f>Data!AH60</f>
        <v>376373.24537863751</v>
      </c>
      <c r="H93" s="55">
        <f>G93</f>
        <v>376373.24537863751</v>
      </c>
      <c r="I93" s="34">
        <v>118.4</v>
      </c>
      <c r="J93" s="55">
        <f>I93*Data!F60</f>
        <v>615.74660798575542</v>
      </c>
      <c r="K93" s="78"/>
      <c r="L93" s="106">
        <f t="shared" si="0"/>
        <v>6.422835528233148</v>
      </c>
      <c r="M93" s="108">
        <f>L93-L91</f>
        <v>0.16173815084519738</v>
      </c>
      <c r="N93" s="107">
        <f t="shared" ref="N93" si="14">LN(H93)</f>
        <v>12.83833660387649</v>
      </c>
      <c r="O93" s="108">
        <f>N93-N91</f>
        <v>6.5549491759380629E-2</v>
      </c>
      <c r="P93" s="106"/>
    </row>
    <row r="94" spans="1:16">
      <c r="A94">
        <v>1973</v>
      </c>
      <c r="B94" s="55">
        <f>Data!AA61</f>
        <v>60196.152135279044</v>
      </c>
      <c r="C94" s="55">
        <f>Data!AI61</f>
        <v>64539.92048396614</v>
      </c>
      <c r="D94" s="55">
        <f>(Data!W61-Data!V61)/(Data!S61-Data!R61)*1000</f>
        <v>37345.666216263562</v>
      </c>
      <c r="E94" s="55">
        <f>(Data!AE61-Data!AD61)/(Data!S61-Data!R61)*1000</f>
        <v>39760.671399301602</v>
      </c>
      <c r="F94" s="55">
        <f>Data!Z61</f>
        <v>265850.52540641843</v>
      </c>
      <c r="G94" s="55">
        <f>Data!AH61</f>
        <v>287553.16224594699</v>
      </c>
      <c r="H94" s="55">
        <f t="shared" ref="H94:H137" si="15">G94</f>
        <v>287553.16224594699</v>
      </c>
      <c r="I94" s="34">
        <v>96.11</v>
      </c>
      <c r="J94" s="55">
        <f>I94*Data!F61</f>
        <v>470.55697426435779</v>
      </c>
      <c r="K94" s="78"/>
      <c r="L94" s="106">
        <f t="shared" si="0"/>
        <v>6.1539170447109681</v>
      </c>
      <c r="M94" s="106">
        <f t="shared" si="3"/>
        <v>-0.26891848352217984</v>
      </c>
      <c r="N94" s="107">
        <f t="shared" si="2"/>
        <v>12.569163034285211</v>
      </c>
      <c r="O94" s="106">
        <f t="shared" si="4"/>
        <v>-0.26917356959127936</v>
      </c>
      <c r="P94" s="106"/>
    </row>
    <row r="95" spans="1:16">
      <c r="A95">
        <v>1974</v>
      </c>
      <c r="B95" s="55">
        <f>Data!AA62</f>
        <v>59987.872919459471</v>
      </c>
      <c r="C95" s="55">
        <f>Data!AI62</f>
        <v>59741.706542715867</v>
      </c>
      <c r="D95" s="55">
        <f>(Data!W62-Data!V62)/(Data!S62-Data!R62)*1000</f>
        <v>37194.749055473178</v>
      </c>
      <c r="E95" s="55">
        <f>(Data!AE62-Data!AD62)/(Data!S62-Data!R62)*1000</f>
        <v>37070.787713508129</v>
      </c>
      <c r="F95" s="55">
        <f>Data!Z62</f>
        <v>265125.98769533611</v>
      </c>
      <c r="G95" s="55">
        <f>Data!AH62</f>
        <v>263779.97600558546</v>
      </c>
      <c r="H95" s="55">
        <f t="shared" si="15"/>
        <v>263779.97600558546</v>
      </c>
      <c r="I95" s="34">
        <v>72.56</v>
      </c>
      <c r="J95" s="55">
        <f>I95*Data!F62</f>
        <v>319.94620429144175</v>
      </c>
      <c r="K95" s="78"/>
      <c r="L95" s="106">
        <f t="shared" si="0"/>
        <v>5.7681528700721909</v>
      </c>
      <c r="M95" s="106">
        <f t="shared" si="3"/>
        <v>-0.38576417463877721</v>
      </c>
      <c r="N95" s="107">
        <f t="shared" si="2"/>
        <v>12.482870610416134</v>
      </c>
      <c r="O95" s="106">
        <f t="shared" si="4"/>
        <v>-8.6292423869076984E-2</v>
      </c>
      <c r="P95" s="106"/>
    </row>
    <row r="96" spans="1:16">
      <c r="A96">
        <v>1975</v>
      </c>
      <c r="B96" s="55">
        <f>Data!AA63</f>
        <v>58707.818914061536</v>
      </c>
      <c r="C96" s="55">
        <f>Data!AI63</f>
        <v>56315.548157238954</v>
      </c>
      <c r="D96" s="55">
        <f>(Data!W63-Data!V63)/(Data!S63-Data!R63)*1000</f>
        <v>35071.684702019251</v>
      </c>
      <c r="E96" s="55">
        <f>(Data!AE63-Data!AD63)/(Data!S63-Data!R63)*1000</f>
        <v>34143.629093334726</v>
      </c>
      <c r="F96" s="55">
        <f>Data!Z63</f>
        <v>271433.02682244219</v>
      </c>
      <c r="G96" s="55">
        <f>Data!AH63</f>
        <v>255862.81973237699</v>
      </c>
      <c r="H96" s="55">
        <f t="shared" si="15"/>
        <v>255862.81973237699</v>
      </c>
      <c r="I96" s="34">
        <v>96.86</v>
      </c>
      <c r="J96" s="55">
        <f>I96*Data!F63</f>
        <v>391.37113929046376</v>
      </c>
      <c r="K96" s="78"/>
      <c r="L96" s="106">
        <f t="shared" si="0"/>
        <v>5.9696563151212976</v>
      </c>
      <c r="M96" s="106">
        <f t="shared" si="3"/>
        <v>0.20150344504910667</v>
      </c>
      <c r="N96" s="107">
        <f t="shared" si="2"/>
        <v>12.452396719416791</v>
      </c>
      <c r="O96" s="106">
        <f t="shared" si="4"/>
        <v>-3.0473890999342501E-2</v>
      </c>
      <c r="P96" s="106"/>
    </row>
    <row r="97" spans="1:16">
      <c r="A97">
        <v>1976</v>
      </c>
      <c r="B97" s="55">
        <f>Data!AA64</f>
        <v>61245.610369606373</v>
      </c>
      <c r="C97" s="55">
        <f>Data!AI64</f>
        <v>60749.668746624877</v>
      </c>
      <c r="D97" s="55">
        <f>(Data!W64-Data!V64)/(Data!S64-Data!R64)*1000</f>
        <v>37159.016085514369</v>
      </c>
      <c r="E97" s="55">
        <f>(Data!AE64-Data!AD64)/(Data!S64-Data!R64)*1000</f>
        <v>36984.200216384292</v>
      </c>
      <c r="F97" s="55">
        <f>Data!Z64</f>
        <v>278024.95892643445</v>
      </c>
      <c r="G97" s="55">
        <f>Data!AH64</f>
        <v>274638.88551879011</v>
      </c>
      <c r="H97" s="55">
        <f t="shared" si="15"/>
        <v>274638.88551879011</v>
      </c>
      <c r="I97" s="34">
        <v>103.8</v>
      </c>
      <c r="J97" s="55">
        <f>I97*Data!F64</f>
        <v>396.5625463996987</v>
      </c>
      <c r="K97" s="78"/>
      <c r="L97" s="106">
        <f t="shared" si="0"/>
        <v>5.9828337749134564</v>
      </c>
      <c r="M97" s="106">
        <f t="shared" si="3"/>
        <v>1.3177459792158785E-2</v>
      </c>
      <c r="N97" s="107">
        <f t="shared" si="2"/>
        <v>12.523212370152141</v>
      </c>
      <c r="O97" s="106">
        <f t="shared" si="4"/>
        <v>7.0815650735349678E-2</v>
      </c>
      <c r="P97" s="106"/>
    </row>
    <row r="98" spans="1:16">
      <c r="A98">
        <v>1977</v>
      </c>
      <c r="B98" s="55">
        <f>Data!AA65</f>
        <v>63286.331408466191</v>
      </c>
      <c r="C98" s="55">
        <f>Data!AI65</f>
        <v>62803.073597730938</v>
      </c>
      <c r="D98" s="55">
        <f>(Data!W65-Data!V65)/(Data!S65-Data!R65)*1000</f>
        <v>38669.622617422407</v>
      </c>
      <c r="E98" s="55">
        <f>(Data!AE65-Data!AD65)/(Data!S65-Data!R65)*1000</f>
        <v>38619.02193145296</v>
      </c>
      <c r="F98" s="55">
        <f>Data!Z65</f>
        <v>284836.71052786021</v>
      </c>
      <c r="G98" s="55">
        <f>Data!AH65</f>
        <v>280459.53859423264</v>
      </c>
      <c r="H98" s="55">
        <f t="shared" si="15"/>
        <v>280459.53859423264</v>
      </c>
      <c r="I98" s="34">
        <v>90.25</v>
      </c>
      <c r="J98" s="55">
        <f>I98*Data!F65</f>
        <v>323.74360161000681</v>
      </c>
      <c r="K98" s="78"/>
      <c r="L98" s="106">
        <f t="shared" si="0"/>
        <v>5.7799518494516748</v>
      </c>
      <c r="M98" s="106">
        <f t="shared" si="3"/>
        <v>-0.20288192546178152</v>
      </c>
      <c r="N98" s="107">
        <f t="shared" si="2"/>
        <v>12.544184746104335</v>
      </c>
      <c r="O98" s="106">
        <f t="shared" si="4"/>
        <v>2.0972375952194255E-2</v>
      </c>
      <c r="P98" s="106"/>
    </row>
    <row r="99" spans="1:16">
      <c r="A99">
        <v>1978</v>
      </c>
      <c r="B99" s="55">
        <f>Data!AA66</f>
        <v>61488.804230648377</v>
      </c>
      <c r="C99" s="55">
        <f>Data!AI66</f>
        <v>61125.20718782513</v>
      </c>
      <c r="D99" s="55">
        <f>(Data!W66-Data!V66)/(Data!S66-Data!R66)*1000</f>
        <v>38357.002113136718</v>
      </c>
      <c r="E99" s="55">
        <f>(Data!AE66-Data!AD66)/(Data!S66-Data!R66)*1000</f>
        <v>38297.958054782284</v>
      </c>
      <c r="F99" s="55">
        <f>Data!Z66</f>
        <v>269675.02328825329</v>
      </c>
      <c r="G99" s="55">
        <f>Data!AH66</f>
        <v>266570.4493852107</v>
      </c>
      <c r="H99" s="55">
        <f t="shared" si="15"/>
        <v>266570.4493852107</v>
      </c>
      <c r="I99" s="34">
        <v>99.71</v>
      </c>
      <c r="J99" s="55">
        <f>I99*Data!F66</f>
        <v>332.44340970072005</v>
      </c>
      <c r="K99" s="78"/>
      <c r="L99" s="106">
        <f t="shared" si="0"/>
        <v>5.8064696492220484</v>
      </c>
      <c r="M99" s="106">
        <f t="shared" si="3"/>
        <v>2.6517799770373607E-2</v>
      </c>
      <c r="N99" s="107">
        <f t="shared" si="2"/>
        <v>12.493393838067171</v>
      </c>
      <c r="O99" s="106">
        <f t="shared" si="4"/>
        <v>-5.0790908037164684E-2</v>
      </c>
      <c r="P99" s="106"/>
    </row>
    <row r="100" spans="1:16">
      <c r="A100">
        <v>1979</v>
      </c>
      <c r="B100" s="55">
        <f>Data!AA67</f>
        <v>75056.240311936592</v>
      </c>
      <c r="C100" s="55">
        <f>Data!AI67</f>
        <v>67984.911025584297</v>
      </c>
      <c r="D100" s="55">
        <f>(Data!W67-Data!V67)/(Data!S67-Data!R67)*1000</f>
        <v>46249.184421165031</v>
      </c>
      <c r="E100" s="55">
        <f>(Data!AE67-Data!AD67)/(Data!S67-Data!R67)*1000</f>
        <v>41172.235701640639</v>
      </c>
      <c r="F100" s="55">
        <f>Data!Z67</f>
        <v>334319.74332888064</v>
      </c>
      <c r="G100" s="55">
        <f>Data!AH67</f>
        <v>309298.9889410772</v>
      </c>
      <c r="H100" s="55">
        <f t="shared" si="15"/>
        <v>309298.9889410772</v>
      </c>
      <c r="I100" s="34">
        <v>110.9</v>
      </c>
      <c r="J100" s="55">
        <f>I100*Data!F67</f>
        <v>337.43104125903483</v>
      </c>
      <c r="K100" s="78"/>
      <c r="L100" s="106">
        <f t="shared" si="0"/>
        <v>5.821361167240509</v>
      </c>
      <c r="M100" s="106">
        <f t="shared" si="3"/>
        <v>1.4891518018460559E-2</v>
      </c>
      <c r="N100" s="107">
        <f t="shared" si="2"/>
        <v>12.642063689806122</v>
      </c>
      <c r="O100" s="106">
        <f t="shared" si="4"/>
        <v>0.14866985173895131</v>
      </c>
      <c r="P100" s="106"/>
    </row>
    <row r="101" spans="1:16">
      <c r="A101">
        <v>1980</v>
      </c>
      <c r="B101" s="55">
        <f>Data!AA68</f>
        <v>71958.634238677594</v>
      </c>
      <c r="C101" s="55">
        <f>Data!AI68</f>
        <v>66798.223042291545</v>
      </c>
      <c r="D101" s="55">
        <f>(Data!W68-Data!V68)/(Data!S68-Data!R68)*1000</f>
        <v>44456.256121461643</v>
      </c>
      <c r="E101" s="55">
        <f>(Data!AE68-Data!AD68)/(Data!S68-Data!R68)*1000</f>
        <v>40505.609517777979</v>
      </c>
      <c r="F101" s="55">
        <f>Data!Z68</f>
        <v>319480.03729362116</v>
      </c>
      <c r="G101" s="55">
        <f>Data!AH68</f>
        <v>303431.74476291373</v>
      </c>
      <c r="H101" s="55">
        <f t="shared" si="15"/>
        <v>303431.74476291373</v>
      </c>
      <c r="I101" s="34">
        <v>133</v>
      </c>
      <c r="J101" s="55">
        <f>I101*Data!F68</f>
        <v>364.23829202061569</v>
      </c>
      <c r="K101" s="78"/>
      <c r="L101" s="106">
        <f t="shared" si="0"/>
        <v>5.8978083018562302</v>
      </c>
      <c r="M101" s="106">
        <f t="shared" si="3"/>
        <v>7.6447134615721168E-2</v>
      </c>
      <c r="N101" s="107">
        <f t="shared" si="2"/>
        <v>12.622911970492156</v>
      </c>
      <c r="O101" s="106">
        <f t="shared" si="4"/>
        <v>-1.9151719313965643E-2</v>
      </c>
      <c r="P101" s="106"/>
    </row>
    <row r="102" spans="1:16">
      <c r="A102">
        <v>1981</v>
      </c>
      <c r="B102" s="55">
        <f>Data!AA69</f>
        <v>79614.607572276625</v>
      </c>
      <c r="C102" s="55">
        <f>Data!AI69</f>
        <v>71097.768328089471</v>
      </c>
      <c r="D102" s="55">
        <f>(Data!W69-Data!V69)/(Data!S69-Data!R69)*1000</f>
        <v>46746.703596964726</v>
      </c>
      <c r="E102" s="55">
        <f>(Data!AE69-Data!AD69)/(Data!S69-Data!R69)*1000</f>
        <v>43807.066389223946</v>
      </c>
      <c r="F102" s="55">
        <f>Data!Z69</f>
        <v>375425.74335008377</v>
      </c>
      <c r="G102" s="55">
        <f>Data!AH69</f>
        <v>316714.08577787917</v>
      </c>
      <c r="H102" s="55">
        <f t="shared" si="15"/>
        <v>316714.08577787917</v>
      </c>
      <c r="I102" s="34">
        <v>117.3</v>
      </c>
      <c r="J102" s="55">
        <f>I102*Data!F69</f>
        <v>293.31771104624255</v>
      </c>
      <c r="K102" s="78"/>
      <c r="L102" s="106">
        <f t="shared" si="0"/>
        <v>5.6812563595889953</v>
      </c>
      <c r="M102" s="106">
        <f t="shared" si="3"/>
        <v>-0.21655194226723484</v>
      </c>
      <c r="N102" s="107">
        <f t="shared" si="2"/>
        <v>12.66575470825974</v>
      </c>
      <c r="O102" s="106">
        <f t="shared" si="4"/>
        <v>4.2842737767584183E-2</v>
      </c>
      <c r="P102" s="106"/>
    </row>
    <row r="103" spans="1:16">
      <c r="A103">
        <v>1982</v>
      </c>
      <c r="B103" s="55">
        <f>Data!AA70</f>
        <v>63871.837040117105</v>
      </c>
      <c r="C103" s="55">
        <f>Data!AI70</f>
        <v>63891.966850925346</v>
      </c>
      <c r="D103" s="55">
        <f>(Data!W70-Data!V70)/(Data!S70-Data!R70)*1000</f>
        <v>39373.924278273596</v>
      </c>
      <c r="E103" s="55">
        <f>(Data!AE70-Data!AD70)/(Data!S70-Data!R70)*1000</f>
        <v>40357.27517183328</v>
      </c>
      <c r="F103" s="55">
        <f>Data!Z70</f>
        <v>284353.05189670861</v>
      </c>
      <c r="G103" s="55">
        <f>Data!AH70</f>
        <v>275704.19196275395</v>
      </c>
      <c r="H103" s="55">
        <f t="shared" si="15"/>
        <v>275704.19196275395</v>
      </c>
      <c r="I103" s="34">
        <v>144.30000000000001</v>
      </c>
      <c r="J103" s="55">
        <f>I103*Data!F70</f>
        <v>340.2980684410652</v>
      </c>
      <c r="K103" s="78"/>
      <c r="L103" s="106">
        <f t="shared" si="0"/>
        <v>5.829821905443338</v>
      </c>
      <c r="M103" s="106">
        <f t="shared" si="3"/>
        <v>0.14856554585434267</v>
      </c>
      <c r="N103" s="107">
        <f t="shared" ref="N103:N137" si="16">LN(H103)</f>
        <v>12.527083801694099</v>
      </c>
      <c r="O103" s="106">
        <f t="shared" si="4"/>
        <v>-0.13867090656564152</v>
      </c>
      <c r="P103" s="106"/>
    </row>
    <row r="104" spans="1:16">
      <c r="A104">
        <v>1983</v>
      </c>
      <c r="B104" s="55">
        <f>Data!AA71</f>
        <v>74537.821413113037</v>
      </c>
      <c r="C104" s="55">
        <f>Data!AI71</f>
        <v>68516.089653691728</v>
      </c>
      <c r="D104" s="55">
        <f>(Data!W71-Data!V71)/(Data!S71-Data!R71)*1000</f>
        <v>49809.307913317112</v>
      </c>
      <c r="E104" s="55">
        <f>(Data!AE71-Data!AD71)/(Data!S71-Data!R71)*1000</f>
        <v>44670.05062947968</v>
      </c>
      <c r="F104" s="55">
        <f>Data!Z71</f>
        <v>297094.44291127642</v>
      </c>
      <c r="G104" s="55">
        <f>Data!AH71</f>
        <v>283130.44087159995</v>
      </c>
      <c r="H104" s="55">
        <f t="shared" si="15"/>
        <v>283130.44087159995</v>
      </c>
      <c r="I104" s="34">
        <v>166.4</v>
      </c>
      <c r="J104" s="55">
        <f>I104*Data!F71</f>
        <v>376.35198633975239</v>
      </c>
      <c r="K104" s="78"/>
      <c r="L104" s="106">
        <f t="shared" ref="L104:L137" si="17">LN(J104)</f>
        <v>5.9305248393721595</v>
      </c>
      <c r="M104" s="106">
        <f t="shared" ref="M104:M137" si="18">L104-L103</f>
        <v>0.10070293392882146</v>
      </c>
      <c r="N104" s="107">
        <f t="shared" si="16"/>
        <v>12.553662992241321</v>
      </c>
      <c r="O104" s="106">
        <f t="shared" ref="O104:O137" si="19">N104-N103</f>
        <v>2.6579190547222353E-2</v>
      </c>
      <c r="P104" s="106"/>
    </row>
    <row r="105" spans="1:16">
      <c r="A105">
        <v>1984</v>
      </c>
      <c r="B105" s="55">
        <f>Data!AA72</f>
        <v>73062.951615162019</v>
      </c>
      <c r="C105" s="55">
        <f>Data!AI72</f>
        <v>71602.171151632661</v>
      </c>
      <c r="D105" s="55">
        <f>(Data!W72-Data!V72)/(Data!S72-Data!R72)*1000</f>
        <v>41595.013051859634</v>
      </c>
      <c r="E105" s="55">
        <f>(Data!AE72-Data!AD72)/(Data!S72-Data!R72)*1000</f>
        <v>42332.333328730085</v>
      </c>
      <c r="F105" s="55">
        <f>Data!Z72</f>
        <v>356274.39868488349</v>
      </c>
      <c r="G105" s="55">
        <f>Data!AH72</f>
        <v>335030.71155775577</v>
      </c>
      <c r="H105" s="55">
        <f t="shared" si="15"/>
        <v>335030.71155775577</v>
      </c>
      <c r="I105" s="34">
        <v>171.6</v>
      </c>
      <c r="J105" s="55">
        <f>I105*Data!F72</f>
        <v>372.8501156803411</v>
      </c>
      <c r="K105" s="78"/>
      <c r="L105" s="106">
        <f t="shared" si="17"/>
        <v>5.9211765042494875</v>
      </c>
      <c r="M105" s="106">
        <f t="shared" si="18"/>
        <v>-9.3483351226719691E-3</v>
      </c>
      <c r="N105" s="107">
        <f t="shared" si="16"/>
        <v>12.721977482896998</v>
      </c>
      <c r="O105" s="106">
        <f t="shared" si="19"/>
        <v>0.16831449065567661</v>
      </c>
      <c r="P105" s="106"/>
    </row>
    <row r="106" spans="1:16">
      <c r="A106">
        <v>1985</v>
      </c>
      <c r="B106" s="55">
        <f>Data!AA73</f>
        <v>92159.76146914401</v>
      </c>
      <c r="C106" s="55">
        <f>Data!AI73</f>
        <v>96582.806917776194</v>
      </c>
      <c r="D106" s="55">
        <f>(Data!W73-Data!V73)/(Data!S73-Data!R73)*1000</f>
        <v>64076.535269075604</v>
      </c>
      <c r="E106" s="55">
        <f>(Data!AE73-Data!AD73)/(Data!S73-Data!R73)*1000</f>
        <v>66544.753496517573</v>
      </c>
      <c r="F106" s="55">
        <f>Data!Z73</f>
        <v>344908.7972697597</v>
      </c>
      <c r="G106" s="55">
        <f>Data!AH73</f>
        <v>366925.28770910384</v>
      </c>
      <c r="H106" s="55">
        <f t="shared" si="15"/>
        <v>366925.28770910384</v>
      </c>
      <c r="I106" s="34">
        <v>208.2</v>
      </c>
      <c r="J106" s="55">
        <f>I106*Data!F73</f>
        <v>437.35865686578137</v>
      </c>
      <c r="K106" s="78"/>
      <c r="L106" s="106">
        <f t="shared" si="17"/>
        <v>6.080753583578236</v>
      </c>
      <c r="M106" s="106">
        <f t="shared" si="18"/>
        <v>0.15957707932874854</v>
      </c>
      <c r="N106" s="107">
        <f t="shared" si="16"/>
        <v>12.812913530587844</v>
      </c>
      <c r="O106" s="106">
        <f t="shared" si="19"/>
        <v>9.0936047690846067E-2</v>
      </c>
      <c r="P106" s="106"/>
    </row>
    <row r="107" spans="1:16">
      <c r="A107">
        <v>1986</v>
      </c>
      <c r="B107" s="55">
        <f>Data!AA74</f>
        <v>99111.039953761632</v>
      </c>
      <c r="C107" s="55">
        <f>Data!AI74</f>
        <v>108146.08253203916</v>
      </c>
      <c r="D107" s="55">
        <f>(Data!W74-Data!V74)/(Data!S74-Data!R74)*1000</f>
        <v>58701.721107462305</v>
      </c>
      <c r="E107" s="55">
        <f>(Data!AE74-Data!AD74)/(Data!S74-Data!R74)*1000</f>
        <v>61833.803424740807</v>
      </c>
      <c r="F107" s="55">
        <f>Data!Z74</f>
        <v>462794.90957045555</v>
      </c>
      <c r="G107" s="55">
        <f>Data!AH74</f>
        <v>524956.5944977242</v>
      </c>
      <c r="H107" s="55">
        <f t="shared" si="15"/>
        <v>524956.5944977242</v>
      </c>
      <c r="I107" s="34">
        <v>264.5</v>
      </c>
      <c r="J107" s="55">
        <f>I107*Data!F74</f>
        <v>545.74542562249394</v>
      </c>
      <c r="K107" s="77"/>
      <c r="L107" s="106">
        <f t="shared" si="17"/>
        <v>6.3021526135763164</v>
      </c>
      <c r="M107" s="106">
        <f t="shared" si="18"/>
        <v>0.22139902999808037</v>
      </c>
      <c r="N107" s="107">
        <f t="shared" si="16"/>
        <v>13.171070861008625</v>
      </c>
      <c r="O107" s="106">
        <f t="shared" si="19"/>
        <v>0.3581573304207808</v>
      </c>
      <c r="P107" s="106"/>
    </row>
    <row r="108" spans="1:16">
      <c r="A108">
        <v>1987</v>
      </c>
      <c r="B108" s="55">
        <f>Data!AA75</f>
        <v>66147.95384819193</v>
      </c>
      <c r="C108" s="55">
        <f>Data!AI75</f>
        <v>76428.79965652668</v>
      </c>
      <c r="D108" s="55">
        <f>(Data!W75-Data!V75)/(Data!S75-Data!R75)*1000</f>
        <v>41150.897465358998</v>
      </c>
      <c r="E108" s="55">
        <f>(Data!AE75-Data!AD75)/(Data!S75-Data!R75)*1000</f>
        <v>47474.977722750387</v>
      </c>
      <c r="F108" s="55">
        <f>Data!Z75</f>
        <v>291121.46129368828</v>
      </c>
      <c r="G108" s="55">
        <f>Data!AH75</f>
        <v>337013.19706051325</v>
      </c>
      <c r="H108" s="55">
        <f t="shared" si="15"/>
        <v>337013.19706051325</v>
      </c>
      <c r="I108" s="34">
        <v>250.5</v>
      </c>
      <c r="J108" s="55">
        <f>I108*Data!F75</f>
        <v>499.96633236242729</v>
      </c>
      <c r="K108" s="78"/>
      <c r="L108" s="106">
        <f t="shared" si="17"/>
        <v>6.2145407608799248</v>
      </c>
      <c r="M108" s="106">
        <f t="shared" si="18"/>
        <v>-8.7611852696391601E-2</v>
      </c>
      <c r="N108" s="107">
        <f t="shared" si="16"/>
        <v>12.727877368984704</v>
      </c>
      <c r="O108" s="106">
        <f t="shared" si="19"/>
        <v>-0.44319349202392111</v>
      </c>
      <c r="P108" s="106"/>
    </row>
    <row r="109" spans="1:16">
      <c r="A109">
        <v>1988</v>
      </c>
      <c r="B109" s="55">
        <f>Data!AA76</f>
        <v>85903.667651510987</v>
      </c>
      <c r="C109" s="55">
        <f>Data!AI76</f>
        <v>85841.592952324703</v>
      </c>
      <c r="D109" s="55">
        <f>(Data!W76-Data!V76)/(Data!S76-Data!R76)*1000</f>
        <v>46877.408737101781</v>
      </c>
      <c r="E109" s="55">
        <f>(Data!AE76-Data!AD76)/(Data!S76-Data!R76)*1000</f>
        <v>51738.108749448096</v>
      </c>
      <c r="F109" s="55">
        <f>Data!Z76</f>
        <v>437139.99788119388</v>
      </c>
      <c r="G109" s="55">
        <f>Data!AH76</f>
        <v>392772.95077821409</v>
      </c>
      <c r="H109" s="55">
        <f t="shared" si="15"/>
        <v>392772.95077821409</v>
      </c>
      <c r="I109" s="34">
        <v>285.39999999999998</v>
      </c>
      <c r="J109" s="55">
        <f>I109*Data!F76</f>
        <v>549.45869842367676</v>
      </c>
      <c r="K109" s="78"/>
      <c r="L109" s="106">
        <f t="shared" si="17"/>
        <v>6.3089336089145442</v>
      </c>
      <c r="M109" s="106">
        <f t="shared" si="18"/>
        <v>9.4392848034619448E-2</v>
      </c>
      <c r="N109" s="107">
        <f t="shared" si="16"/>
        <v>12.88098699051039</v>
      </c>
      <c r="O109" s="106">
        <f t="shared" si="19"/>
        <v>0.15310962152568663</v>
      </c>
      <c r="P109" s="106"/>
    </row>
    <row r="110" spans="1:16">
      <c r="A110">
        <v>1989</v>
      </c>
      <c r="B110" s="55">
        <f>Data!AA77</f>
        <v>82544.583670205204</v>
      </c>
      <c r="C110" s="55">
        <f>Data!AI77</f>
        <v>90105.521738419979</v>
      </c>
      <c r="D110" s="55">
        <f>(Data!W77-Data!V77)/(Data!S77-Data!R77)*1000</f>
        <v>51127.592334266817</v>
      </c>
      <c r="E110" s="55">
        <f>(Data!AE77-Data!AD77)/(Data!S77-Data!R77)*1000</f>
        <v>56480.964426061626</v>
      </c>
      <c r="F110" s="55">
        <f>Data!Z77</f>
        <v>365297.50569365069</v>
      </c>
      <c r="G110" s="55">
        <f>Data!AH77</f>
        <v>392726.53754964512</v>
      </c>
      <c r="H110" s="55">
        <f t="shared" si="15"/>
        <v>392726.53754964512</v>
      </c>
      <c r="I110" s="34">
        <v>339.97</v>
      </c>
      <c r="J110" s="55">
        <f>I110*Data!F77</f>
        <v>627.44897945173432</v>
      </c>
      <c r="K110" s="78"/>
      <c r="L110" s="106">
        <f t="shared" si="17"/>
        <v>6.4416623600536544</v>
      </c>
      <c r="M110" s="106">
        <f t="shared" si="18"/>
        <v>0.1327287511391102</v>
      </c>
      <c r="N110" s="107">
        <f t="shared" si="16"/>
        <v>12.880868815440101</v>
      </c>
      <c r="O110" s="106">
        <f t="shared" si="19"/>
        <v>-1.1817507028943908E-4</v>
      </c>
      <c r="P110" s="106"/>
    </row>
    <row r="111" spans="1:16">
      <c r="A111">
        <v>1990</v>
      </c>
      <c r="B111" s="55">
        <f>Data!AA78</f>
        <v>77768.044781366014</v>
      </c>
      <c r="C111" s="55">
        <f>Data!AI78</f>
        <v>83665.622067251272</v>
      </c>
      <c r="D111" s="55">
        <f>(Data!W78-Data!V78)/(Data!S78-Data!R78)*1000</f>
        <v>46229.557419850542</v>
      </c>
      <c r="E111" s="55">
        <f>(Data!AE78-Data!AD78)/(Data!S78-Data!R78)*1000</f>
        <v>49164.461457045676</v>
      </c>
      <c r="F111" s="55">
        <f>Data!Z78</f>
        <v>361614.43103500531</v>
      </c>
      <c r="G111" s="55">
        <f>Data!AH78</f>
        <v>394176.06755910156</v>
      </c>
      <c r="H111" s="55">
        <f t="shared" si="15"/>
        <v>394176.06755910156</v>
      </c>
      <c r="I111" s="34">
        <v>325.49</v>
      </c>
      <c r="J111" s="55">
        <f>I111*Data!F78</f>
        <v>572.20542432711829</v>
      </c>
      <c r="K111" s="78"/>
      <c r="L111" s="106">
        <f t="shared" si="17"/>
        <v>6.3494980603458382</v>
      </c>
      <c r="M111" s="106">
        <f t="shared" si="18"/>
        <v>-9.2164299707816255E-2</v>
      </c>
      <c r="N111" s="107">
        <f t="shared" si="16"/>
        <v>12.88455296043994</v>
      </c>
      <c r="O111" s="106">
        <f t="shared" si="19"/>
        <v>3.6841449998394893E-3</v>
      </c>
      <c r="P111" s="106"/>
    </row>
    <row r="112" spans="1:16">
      <c r="A112">
        <v>1991</v>
      </c>
      <c r="B112" s="55">
        <f>Data!AA79</f>
        <v>97381.432258738903</v>
      </c>
      <c r="C112" s="55">
        <f>Data!AI79</f>
        <v>81517.404736411001</v>
      </c>
      <c r="D112" s="55">
        <f>(Data!W79-Data!V79)/(Data!S79-Data!R79)*1000</f>
        <v>47232.427189138325</v>
      </c>
      <c r="E112" s="55">
        <f>(Data!AE79-Data!AD79)/(Data!S79-Data!R79)*1000</f>
        <v>50036.111380797076</v>
      </c>
      <c r="F112" s="55">
        <f>Data!Z79</f>
        <v>548722.47788514406</v>
      </c>
      <c r="G112" s="55">
        <f>Data!AH79</f>
        <v>364849.04493693647</v>
      </c>
      <c r="H112" s="55">
        <f t="shared" si="15"/>
        <v>364849.04493693647</v>
      </c>
      <c r="I112" s="34">
        <v>416.08</v>
      </c>
      <c r="J112" s="55">
        <f>I112*Data!F79</f>
        <v>706.13980093827297</v>
      </c>
      <c r="K112" s="78"/>
      <c r="L112" s="106">
        <f t="shared" si="17"/>
        <v>6.5598132362163666</v>
      </c>
      <c r="M112" s="106">
        <f t="shared" si="18"/>
        <v>0.21031517587052839</v>
      </c>
      <c r="N112" s="107">
        <f t="shared" si="16"/>
        <v>12.807238971503445</v>
      </c>
      <c r="O112" s="106">
        <f t="shared" si="19"/>
        <v>-7.7313988936495548E-2</v>
      </c>
      <c r="P112" s="106"/>
    </row>
    <row r="113" spans="1:16">
      <c r="A113">
        <v>1992</v>
      </c>
      <c r="B113" s="55">
        <f>Data!AA80</f>
        <v>77103.271149924069</v>
      </c>
      <c r="C113" s="55">
        <f>Data!AI80</f>
        <v>79794.995535325492</v>
      </c>
      <c r="D113" s="55">
        <f>(Data!W80-Data!V80)/(Data!S80-Data!R80)*1000</f>
        <v>47756.867866126311</v>
      </c>
      <c r="E113" s="55">
        <f>(Data!AE80-Data!AD80)/(Data!S80-Data!R80)*1000</f>
        <v>49834.679560082121</v>
      </c>
      <c r="F113" s="55">
        <f>Data!Z80</f>
        <v>341220.90070410387</v>
      </c>
      <c r="G113" s="55">
        <f>Data!AH80</f>
        <v>349437.83931251586</v>
      </c>
      <c r="H113" s="55">
        <f t="shared" si="15"/>
        <v>349437.83931251586</v>
      </c>
      <c r="I113" s="34">
        <v>435.23</v>
      </c>
      <c r="J113" s="55">
        <f>I113*Data!F80</f>
        <v>720.37571054499483</v>
      </c>
      <c r="K113" s="78"/>
      <c r="L113" s="106">
        <f t="shared" si="17"/>
        <v>6.5797728961106658</v>
      </c>
      <c r="M113" s="106">
        <f t="shared" si="18"/>
        <v>1.9959659894299264E-2</v>
      </c>
      <c r="N113" s="107">
        <f t="shared" si="16"/>
        <v>12.764080968793436</v>
      </c>
      <c r="O113" s="106">
        <f t="shared" si="19"/>
        <v>-4.3158002710008248E-2</v>
      </c>
      <c r="P113" s="106"/>
    </row>
    <row r="114" spans="1:16">
      <c r="A114">
        <v>1993</v>
      </c>
      <c r="B114" s="55">
        <f>Data!AA81</f>
        <v>92027.152095005993</v>
      </c>
      <c r="C114" s="55">
        <f>Data!AI81</f>
        <v>97762.891794696538</v>
      </c>
      <c r="D114" s="55">
        <f>(Data!W81-Data!V81)/(Data!S81-Data!R81)*1000</f>
        <v>55553.105445996211</v>
      </c>
      <c r="E114" s="55">
        <f>(Data!AE81-Data!AD81)/(Data!S81-Data!R81)*1000</f>
        <v>58051.548893797641</v>
      </c>
      <c r="F114" s="55">
        <f>Data!Z81</f>
        <v>420293.57193609403</v>
      </c>
      <c r="G114" s="55">
        <f>Data!AH81</f>
        <v>455164.97790278669</v>
      </c>
      <c r="H114" s="55">
        <f t="shared" si="15"/>
        <v>455164.97790278669</v>
      </c>
      <c r="I114" s="34">
        <v>472.99</v>
      </c>
      <c r="J114" s="55">
        <f>I114*Data!F81</f>
        <v>763.98387957063744</v>
      </c>
      <c r="K114" s="78"/>
      <c r="L114" s="106">
        <f t="shared" si="17"/>
        <v>6.6385466889054792</v>
      </c>
      <c r="M114" s="106">
        <f t="shared" si="18"/>
        <v>5.8773792794813318E-2</v>
      </c>
      <c r="N114" s="107">
        <f t="shared" si="16"/>
        <v>13.028415221010988</v>
      </c>
      <c r="O114" s="106">
        <f t="shared" si="19"/>
        <v>0.26433425221755158</v>
      </c>
      <c r="P114" s="106"/>
    </row>
    <row r="115" spans="1:16">
      <c r="A115">
        <v>1994</v>
      </c>
      <c r="B115" s="55">
        <f>Data!AA82</f>
        <v>102236.56257613812</v>
      </c>
      <c r="C115" s="55">
        <f>Data!AI82</f>
        <v>104790.13293761412</v>
      </c>
      <c r="D115" s="55">
        <f>(Data!W82-Data!V82)/(Data!S82-Data!R82)*1000</f>
        <v>60119.507683372409</v>
      </c>
      <c r="E115" s="55">
        <f>(Data!AE82-Data!AD82)/(Data!S82-Data!R82)*1000</f>
        <v>62016.336188929585</v>
      </c>
      <c r="F115" s="55">
        <f>Data!Z82</f>
        <v>481290.05661102955</v>
      </c>
      <c r="G115" s="55">
        <f>Data!AH82</f>
        <v>489754.30367577501</v>
      </c>
      <c r="H115" s="55">
        <f t="shared" si="15"/>
        <v>489754.30367577501</v>
      </c>
      <c r="I115" s="34">
        <v>465.25</v>
      </c>
      <c r="J115" s="55">
        <f>I115*Data!F82</f>
        <v>735.7763930812506</v>
      </c>
      <c r="K115" s="78"/>
      <c r="L115" s="106">
        <f t="shared" si="17"/>
        <v>6.600926258819829</v>
      </c>
      <c r="M115" s="106">
        <f t="shared" si="18"/>
        <v>-3.7620430085650192E-2</v>
      </c>
      <c r="N115" s="107">
        <f t="shared" si="16"/>
        <v>13.10165912326338</v>
      </c>
      <c r="O115" s="106">
        <f t="shared" si="19"/>
        <v>7.3243902252391635E-2</v>
      </c>
      <c r="P115" s="106"/>
    </row>
    <row r="116" spans="1:16">
      <c r="A116">
        <v>1995</v>
      </c>
      <c r="B116" s="55">
        <f>Data!AA83</f>
        <v>95015.094837563069</v>
      </c>
      <c r="C116" s="55">
        <f>Data!AI83</f>
        <v>107265.92439010768</v>
      </c>
      <c r="D116" s="55">
        <f>(Data!W83-Data!V83)/(Data!S83-Data!R83)*1000</f>
        <v>58120.925734937264</v>
      </c>
      <c r="E116" s="55">
        <f>(Data!AE83-Data!AD83)/(Data!S83-Data!R83)*1000</f>
        <v>64435.100436903966</v>
      </c>
      <c r="F116" s="55">
        <f>Data!Z83</f>
        <v>427062.61676119524</v>
      </c>
      <c r="G116" s="55">
        <f>Data!AH83</f>
        <v>492743.33996894112</v>
      </c>
      <c r="H116" s="55">
        <f t="shared" si="15"/>
        <v>492743.33996894112</v>
      </c>
      <c r="I116" s="34">
        <v>614.41999999999996</v>
      </c>
      <c r="J116" s="55">
        <f>I116*Data!F83</f>
        <v>948.83553831845404</v>
      </c>
      <c r="K116" s="78"/>
      <c r="L116" s="106">
        <f t="shared" si="17"/>
        <v>6.8552354836111968</v>
      </c>
      <c r="M116" s="106">
        <f t="shared" si="18"/>
        <v>0.25430922479136786</v>
      </c>
      <c r="N116" s="107">
        <f t="shared" si="16"/>
        <v>13.107743708878857</v>
      </c>
      <c r="O116" s="106">
        <f t="shared" si="19"/>
        <v>6.0845856154774225E-3</v>
      </c>
      <c r="P116" s="106"/>
    </row>
    <row r="117" spans="1:16">
      <c r="A117">
        <v>1996</v>
      </c>
      <c r="B117" s="55">
        <f>Data!AA84</f>
        <v>132876.79545279263</v>
      </c>
      <c r="C117" s="55">
        <f>Data!AI84</f>
        <v>144036.48452131689</v>
      </c>
      <c r="D117" s="55">
        <f>(Data!W84-Data!V84)/(Data!S84-Data!R84)*1000</f>
        <v>75642.460533039237</v>
      </c>
      <c r="E117" s="55">
        <f>(Data!AE84-Data!AD84)/(Data!S84-Data!R84)*1000</f>
        <v>78488.554044780845</v>
      </c>
      <c r="F117" s="55">
        <f>Data!Z84</f>
        <v>647985.80973057309</v>
      </c>
      <c r="G117" s="55">
        <f>Data!AH84</f>
        <v>733967.8588101411</v>
      </c>
      <c r="H117" s="55">
        <f t="shared" si="15"/>
        <v>733967.8588101411</v>
      </c>
      <c r="I117" s="34">
        <v>766.22</v>
      </c>
      <c r="J117" s="55">
        <f>I117*Data!F84</f>
        <v>1152.5761792761873</v>
      </c>
      <c r="K117" s="78"/>
      <c r="L117" s="106">
        <f t="shared" si="17"/>
        <v>7.0497548718413938</v>
      </c>
      <c r="M117" s="106">
        <f t="shared" si="18"/>
        <v>0.19451938823019699</v>
      </c>
      <c r="N117" s="107">
        <f t="shared" si="16"/>
        <v>13.506220517550881</v>
      </c>
      <c r="O117" s="106">
        <f t="shared" si="19"/>
        <v>0.39847680867202406</v>
      </c>
      <c r="P117" s="106"/>
    </row>
    <row r="118" spans="1:16">
      <c r="A118">
        <v>1997</v>
      </c>
      <c r="B118" s="55">
        <f>Data!AA85</f>
        <v>175726.76655039488</v>
      </c>
      <c r="C118" s="55">
        <f>Data!AI85</f>
        <v>178391.81016770858</v>
      </c>
      <c r="D118" s="55">
        <f>(Data!W85-Data!V85)/(Data!S85-Data!R85)*1000</f>
        <v>99384.535572253415</v>
      </c>
      <c r="E118" s="55">
        <f>(Data!AE85-Data!AD85)/(Data!S85-Data!R85)*1000</f>
        <v>94849.858780653056</v>
      </c>
      <c r="F118" s="55">
        <f>Data!Z85</f>
        <v>862806.84535366832</v>
      </c>
      <c r="G118" s="55">
        <f>Data!AH85</f>
        <v>930269.37265120819</v>
      </c>
      <c r="H118" s="55">
        <f t="shared" si="15"/>
        <v>930269.37265120819</v>
      </c>
      <c r="I118" s="34">
        <v>963.36</v>
      </c>
      <c r="J118" s="55">
        <f>I118*Data!F85</f>
        <v>1418.4716100920004</v>
      </c>
      <c r="K118" s="78"/>
      <c r="L118" s="106">
        <f t="shared" si="17"/>
        <v>7.2573352400140791</v>
      </c>
      <c r="M118" s="106">
        <f t="shared" si="18"/>
        <v>0.20758036817268533</v>
      </c>
      <c r="N118" s="107">
        <f t="shared" si="16"/>
        <v>13.743229471201603</v>
      </c>
      <c r="O118" s="106">
        <f t="shared" si="19"/>
        <v>0.23700895365072228</v>
      </c>
      <c r="P118" s="106"/>
    </row>
    <row r="119" spans="1:16">
      <c r="A119">
        <v>1998</v>
      </c>
      <c r="B119" s="55">
        <f>Data!AA86</f>
        <v>178389.87995707864</v>
      </c>
      <c r="C119" s="55">
        <f>Data!AI86</f>
        <v>185327.63852423051</v>
      </c>
      <c r="D119" s="55">
        <f>(Data!W86-Data!V86)/(Data!S86-Data!R86)*1000</f>
        <v>100833.01321497066</v>
      </c>
      <c r="E119" s="55">
        <f>(Data!AE86-Data!AD86)/(Data!S86-Data!R86)*1000</f>
        <v>102726.02284043338</v>
      </c>
      <c r="F119" s="55">
        <f>Data!Z86</f>
        <v>876401.68063605053</v>
      </c>
      <c r="G119" s="55">
        <f>Data!AH86</f>
        <v>928742.17967840459</v>
      </c>
      <c r="H119" s="55">
        <f t="shared" si="15"/>
        <v>928742.17967840459</v>
      </c>
      <c r="I119" s="34">
        <v>1248.77</v>
      </c>
      <c r="J119" s="55">
        <f>I119*Data!F86</f>
        <v>1813.4013437808806</v>
      </c>
      <c r="K119" s="78"/>
      <c r="L119" s="106">
        <f t="shared" si="17"/>
        <v>7.5029595562400697</v>
      </c>
      <c r="M119" s="106">
        <f t="shared" si="18"/>
        <v>0.24562431622599057</v>
      </c>
      <c r="N119" s="107">
        <f t="shared" si="16"/>
        <v>13.741586454713142</v>
      </c>
      <c r="O119" s="106">
        <f t="shared" si="19"/>
        <v>-1.6430164884617682E-3</v>
      </c>
      <c r="P119" s="106"/>
    </row>
    <row r="120" spans="1:16">
      <c r="A120">
        <v>1999</v>
      </c>
      <c r="B120" s="55">
        <f>Data!AA87</f>
        <v>196780.79568303673</v>
      </c>
      <c r="C120" s="55">
        <f>Data!AI87</f>
        <v>226724.36132899422</v>
      </c>
      <c r="D120" s="55">
        <f>(Data!W87-Data!V87)/(Data!S87-Data!R87)*1000</f>
        <v>114160.26334388609</v>
      </c>
      <c r="E120" s="55">
        <f>(Data!AE87-Data!AD87)/(Data!S87-Data!R87)*1000</f>
        <v>120063.37880047467</v>
      </c>
      <c r="F120" s="55">
        <f>Data!Z87</f>
        <v>940365.58673539257</v>
      </c>
      <c r="G120" s="55">
        <f>Data!AH87</f>
        <v>1186673.2040856697</v>
      </c>
      <c r="H120" s="55">
        <f t="shared" si="15"/>
        <v>1186673.2040856697</v>
      </c>
      <c r="I120" s="34">
        <v>1425.59</v>
      </c>
      <c r="J120" s="55">
        <f>I120*Data!F87</f>
        <v>2027.8703313348001</v>
      </c>
      <c r="K120" s="78"/>
      <c r="L120" s="106">
        <f t="shared" si="17"/>
        <v>7.6147414234828537</v>
      </c>
      <c r="M120" s="106">
        <f t="shared" si="18"/>
        <v>0.11178186724278394</v>
      </c>
      <c r="N120" s="107">
        <f t="shared" si="16"/>
        <v>13.986664323205886</v>
      </c>
      <c r="O120" s="106">
        <f t="shared" si="19"/>
        <v>0.2450778684927446</v>
      </c>
      <c r="P120" s="106"/>
    </row>
    <row r="121" spans="1:16">
      <c r="A121">
        <v>2000</v>
      </c>
      <c r="B121" s="55">
        <f>Data!AA88</f>
        <v>224165.5485571436</v>
      </c>
      <c r="C121" s="55">
        <f>Data!AI88</f>
        <v>250921.5458648692</v>
      </c>
      <c r="D121" s="55">
        <f>(Data!W88-Data!V88)/(Data!S88-Data!R88)*1000</f>
        <v>136006.48204537525</v>
      </c>
      <c r="E121" s="55">
        <f>(Data!AE88-Data!AD88)/(Data!S88-Data!R88)*1000</f>
        <v>126385.92558611558</v>
      </c>
      <c r="F121" s="55">
        <f>Data!Z88</f>
        <v>1017597.1471630593</v>
      </c>
      <c r="G121" s="55">
        <f>Data!AH88</f>
        <v>1371742.128373652</v>
      </c>
      <c r="H121" s="55">
        <f t="shared" si="15"/>
        <v>1371742.128373652</v>
      </c>
      <c r="I121" s="34">
        <v>1335.63</v>
      </c>
      <c r="J121" s="55">
        <f>I121*Data!F88</f>
        <v>1838.3019436306367</v>
      </c>
      <c r="K121" s="78"/>
      <c r="L121" s="106">
        <f t="shared" si="17"/>
        <v>7.5165975677861168</v>
      </c>
      <c r="M121" s="106">
        <f t="shared" si="18"/>
        <v>-9.8143855696736892E-2</v>
      </c>
      <c r="N121" s="107">
        <f t="shared" si="16"/>
        <v>14.131592116522146</v>
      </c>
      <c r="O121" s="106">
        <f t="shared" si="19"/>
        <v>0.14492779331625982</v>
      </c>
      <c r="P121" s="106"/>
    </row>
    <row r="122" spans="1:16">
      <c r="A122">
        <v>2001</v>
      </c>
      <c r="B122" s="55">
        <f>Data!AA89</f>
        <v>174090.88611536071</v>
      </c>
      <c r="C122" s="55">
        <f>Data!AI89</f>
        <v>199462.43822781168</v>
      </c>
      <c r="D122" s="55">
        <f>(Data!W89-Data!V89)/(Data!S89-Data!R89)*1000</f>
        <v>103716.24295214456</v>
      </c>
      <c r="E122" s="55">
        <f>(Data!AE89-Data!AD89)/(Data!S89-Data!R89)*1000</f>
        <v>98696.366792861154</v>
      </c>
      <c r="F122" s="55">
        <f>Data!Z89</f>
        <v>807462.67458430619</v>
      </c>
      <c r="G122" s="55">
        <f>Data!AH89</f>
        <v>1106357.0811423664</v>
      </c>
      <c r="H122" s="55">
        <f t="shared" si="15"/>
        <v>1106357.0811423664</v>
      </c>
      <c r="I122" s="34">
        <v>1140.21</v>
      </c>
      <c r="J122" s="55">
        <f>I122*Data!F89</f>
        <v>1526.4796115756917</v>
      </c>
      <c r="K122" s="78"/>
      <c r="L122" s="106">
        <f t="shared" si="17"/>
        <v>7.3307194557645383</v>
      </c>
      <c r="M122" s="106">
        <f t="shared" si="18"/>
        <v>-0.18587811202157845</v>
      </c>
      <c r="N122" s="107">
        <f t="shared" si="16"/>
        <v>13.916583267132669</v>
      </c>
      <c r="O122" s="106">
        <f t="shared" si="19"/>
        <v>-0.21500884938947706</v>
      </c>
      <c r="P122" s="106"/>
    </row>
    <row r="123" spans="1:16">
      <c r="A123">
        <v>2002</v>
      </c>
      <c r="B123" s="55">
        <f>Data!AA90</f>
        <v>167836.42025637155</v>
      </c>
      <c r="C123" s="55">
        <f>Data!AI90</f>
        <v>168045.9354658626</v>
      </c>
      <c r="D123" s="55">
        <f>(Data!W90-Data!V90)/(Data!S90-Data!R90)*1000</f>
        <v>84661.998907915986</v>
      </c>
      <c r="E123" s="55">
        <f>(Data!AE90-Data!AD90)/(Data!S90-Data!R90)*1000</f>
        <v>87422.826251126491</v>
      </c>
      <c r="F123" s="55">
        <f>Data!Z90</f>
        <v>916406.21239247161</v>
      </c>
      <c r="G123" s="55">
        <f>Data!AH90</f>
        <v>893653.91839848773</v>
      </c>
      <c r="H123" s="55">
        <f t="shared" si="15"/>
        <v>893653.91839848773</v>
      </c>
      <c r="I123" s="34">
        <v>895.84</v>
      </c>
      <c r="J123" s="55">
        <f>I123*Data!F90</f>
        <v>1180.2585284179911</v>
      </c>
      <c r="K123" s="78"/>
      <c r="L123" s="106">
        <f t="shared" si="17"/>
        <v>7.073488785342243</v>
      </c>
      <c r="M123" s="106">
        <f t="shared" si="18"/>
        <v>-0.2572306704222953</v>
      </c>
      <c r="N123" s="107">
        <f t="shared" si="16"/>
        <v>13.703073863321594</v>
      </c>
      <c r="O123" s="106">
        <f t="shared" si="19"/>
        <v>-0.21350940381107542</v>
      </c>
      <c r="P123" s="106"/>
    </row>
    <row r="124" spans="1:16">
      <c r="A124">
        <v>2003</v>
      </c>
      <c r="B124" s="55">
        <f>Data!AA91</f>
        <v>174148.03561079694</v>
      </c>
      <c r="C124" s="55">
        <f>Data!AI91</f>
        <v>180894.49975331689</v>
      </c>
      <c r="D124" s="55">
        <f>(Data!W91-Data!V91)/(Data!S91-Data!R91)*1000</f>
        <v>96002.907454650529</v>
      </c>
      <c r="E124" s="55">
        <f>(Data!AE91-Data!AD91)/(Data!S91-Data!R91)*1000</f>
        <v>91620.094825866254</v>
      </c>
      <c r="F124" s="55">
        <f>Data!Z91</f>
        <v>877454.18901611445</v>
      </c>
      <c r="G124" s="55">
        <f>Data!AH91</f>
        <v>984364.14410037268</v>
      </c>
      <c r="H124" s="55">
        <f t="shared" si="15"/>
        <v>984364.14410037268</v>
      </c>
      <c r="I124" s="34">
        <v>1132.52</v>
      </c>
      <c r="J124" s="55">
        <f>I124*Data!F91</f>
        <v>1459.4889340874793</v>
      </c>
      <c r="K124" s="78"/>
      <c r="L124" s="106">
        <f t="shared" si="17"/>
        <v>7.2858416082767175</v>
      </c>
      <c r="M124" s="106">
        <f t="shared" si="18"/>
        <v>0.21235282293447444</v>
      </c>
      <c r="N124" s="107">
        <f t="shared" si="16"/>
        <v>13.79975117271983</v>
      </c>
      <c r="O124" s="106">
        <f t="shared" si="19"/>
        <v>9.6677309398236488E-2</v>
      </c>
      <c r="P124" s="106"/>
    </row>
    <row r="125" spans="1:16">
      <c r="A125">
        <v>2004</v>
      </c>
      <c r="B125" s="55">
        <f>Data!AA92</f>
        <v>204585.858816383</v>
      </c>
      <c r="C125" s="55">
        <f>Data!AI92</f>
        <v>232521.88835308165</v>
      </c>
      <c r="D125" s="55">
        <f>(Data!W92-Data!V92)/(Data!S92-Data!R92)*1000</f>
        <v>112251.57294825945</v>
      </c>
      <c r="E125" s="55">
        <f>(Data!AE92-Data!AD92)/(Data!S92-Data!R92)*1000</f>
        <v>108816.44759569824</v>
      </c>
      <c r="F125" s="55">
        <f>Data!Z92</f>
        <v>1035594.4316294946</v>
      </c>
      <c r="G125" s="55">
        <f>Data!AH92</f>
        <v>1345870.8551695324</v>
      </c>
      <c r="H125" s="55">
        <f t="shared" si="15"/>
        <v>1345870.8551695324</v>
      </c>
      <c r="I125" s="34">
        <v>1181.4100000000001</v>
      </c>
      <c r="J125" s="55">
        <f>I125*Data!F92</f>
        <v>1482.4282968385064</v>
      </c>
      <c r="K125" s="78"/>
      <c r="L125" s="106">
        <f t="shared" si="17"/>
        <v>7.3014367633200692</v>
      </c>
      <c r="M125" s="106">
        <f t="shared" si="18"/>
        <v>1.5595155043351738E-2</v>
      </c>
      <c r="N125" s="107">
        <f t="shared" si="16"/>
        <v>14.112551837458428</v>
      </c>
      <c r="O125" s="106">
        <f t="shared" si="19"/>
        <v>0.31280066473859769</v>
      </c>
      <c r="P125" s="106"/>
    </row>
    <row r="126" spans="1:16">
      <c r="A126">
        <v>2005</v>
      </c>
      <c r="B126" s="55">
        <f>Data!AA93</f>
        <v>254177.06553718858</v>
      </c>
      <c r="C126" s="55">
        <f>Data!AI93</f>
        <v>284787.55414473906</v>
      </c>
      <c r="D126" s="55">
        <f>(Data!W93-Data!V93)/(Data!S93-Data!R93)*1000</f>
        <v>146104.37421209321</v>
      </c>
      <c r="E126" s="55">
        <f>(Data!AE93-Data!AD93)/(Data!S93-Data!R93)*1000</f>
        <v>139638.74815906954</v>
      </c>
      <c r="F126" s="55">
        <f>Data!Z93</f>
        <v>1226831.2874630471</v>
      </c>
      <c r="G126" s="55">
        <f>Data!AH93</f>
        <v>1591126.8080157647</v>
      </c>
      <c r="H126" s="55">
        <f t="shared" si="15"/>
        <v>1591126.8080157647</v>
      </c>
      <c r="I126" s="34">
        <v>1278.73</v>
      </c>
      <c r="J126" s="55">
        <f>I126*Data!F93</f>
        <v>1552.4966497128808</v>
      </c>
      <c r="K126" s="78"/>
      <c r="L126" s="106">
        <f t="shared" si="17"/>
        <v>7.3476196558103819</v>
      </c>
      <c r="M126" s="106">
        <f t="shared" si="18"/>
        <v>4.618289249031271E-2</v>
      </c>
      <c r="N126" s="107">
        <f t="shared" si="16"/>
        <v>14.279953007484929</v>
      </c>
      <c r="O126" s="106">
        <f t="shared" si="19"/>
        <v>0.16740117002650123</v>
      </c>
      <c r="P126" s="106"/>
    </row>
    <row r="127" spans="1:16">
      <c r="A127">
        <v>2006</v>
      </c>
      <c r="B127" s="55">
        <f>Data!AA94</f>
        <v>256526.29241190158</v>
      </c>
      <c r="C127" s="55">
        <f>Data!AI94</f>
        <v>281646.29511168378</v>
      </c>
      <c r="D127" s="55">
        <f>(Data!W94-Data!V94)/(Data!S94-Data!R94)*1000</f>
        <v>121145.9999665759</v>
      </c>
      <c r="E127" s="55">
        <f>(Data!AE94-Data!AD94)/(Data!S94-Data!R94)*1000</f>
        <v>127172.3919795901</v>
      </c>
      <c r="F127" s="55">
        <f>Data!Z94</f>
        <v>1474948.9244198324</v>
      </c>
      <c r="G127" s="55">
        <f>Data!AH94</f>
        <v>1671911.423300527</v>
      </c>
      <c r="H127" s="55">
        <f t="shared" si="15"/>
        <v>1671911.423300527</v>
      </c>
      <c r="I127" s="34">
        <v>1424.16</v>
      </c>
      <c r="J127" s="55">
        <f>I127*Data!F94</f>
        <v>1674.1712771806558</v>
      </c>
      <c r="K127" s="78"/>
      <c r="L127" s="106">
        <f t="shared" si="17"/>
        <v>7.4230735619329602</v>
      </c>
      <c r="M127" s="106">
        <f t="shared" si="18"/>
        <v>7.5453906122578296E-2</v>
      </c>
      <c r="N127" s="107">
        <f t="shared" si="16"/>
        <v>14.32947809472858</v>
      </c>
      <c r="O127" s="106">
        <f t="shared" si="19"/>
        <v>4.9525087243651456E-2</v>
      </c>
      <c r="P127" s="106"/>
    </row>
    <row r="128" spans="1:16">
      <c r="A128">
        <v>2007</v>
      </c>
      <c r="B128" s="55">
        <f>Data!AA95</f>
        <v>224338.24853339655</v>
      </c>
      <c r="C128" s="55">
        <f>Data!AI95</f>
        <v>307582.51171399059</v>
      </c>
      <c r="D128" s="55">
        <f>(Data!W95-Data!V95)/(Data!S95-Data!R95)*1000</f>
        <v>137168.32700433111</v>
      </c>
      <c r="E128" s="55">
        <f>(Data!AE95-Data!AD95)/(Data!S95-Data!R95)*1000</f>
        <v>134199.13001963138</v>
      </c>
      <c r="F128" s="55">
        <f>Data!Z95</f>
        <v>1008867.5422949856</v>
      </c>
      <c r="G128" s="55">
        <f>Data!AH95</f>
        <v>1868032.9469632232</v>
      </c>
      <c r="H128" s="55">
        <f t="shared" si="15"/>
        <v>1868032.9469632232</v>
      </c>
      <c r="I128" s="34">
        <v>1378.76</v>
      </c>
      <c r="J128" s="55">
        <f>I128*Data!F95</f>
        <v>1576.0895473179585</v>
      </c>
      <c r="K128" s="78"/>
      <c r="L128" s="106">
        <f t="shared" si="17"/>
        <v>7.3627020881678522</v>
      </c>
      <c r="M128" s="106">
        <f t="shared" si="18"/>
        <v>-6.0371473765107986E-2</v>
      </c>
      <c r="N128" s="107">
        <f t="shared" si="16"/>
        <v>14.440396535175998</v>
      </c>
      <c r="O128" s="106">
        <f t="shared" si="19"/>
        <v>0.11091844044741705</v>
      </c>
      <c r="P128" s="106"/>
    </row>
    <row r="129" spans="1:16">
      <c r="A129">
        <v>2008</v>
      </c>
      <c r="B129" s="55">
        <f>Data!AA96</f>
        <v>203806.49209994159</v>
      </c>
      <c r="C129" s="55">
        <f>Data!AI96</f>
        <v>217949.72945296991</v>
      </c>
      <c r="D129" s="55">
        <f>(Data!W96-Data!V96)/(Data!S96-Data!R96)*1000</f>
        <v>105195.15834506736</v>
      </c>
      <c r="E129" s="55">
        <f>(Data!AE96-Data!AD96)/(Data!S96-Data!R96)*1000</f>
        <v>99192.449362291794</v>
      </c>
      <c r="F129" s="55">
        <f>Data!Z96</f>
        <v>1091308.4958938092</v>
      </c>
      <c r="G129" s="55">
        <f>Data!AH96</f>
        <v>1286765.2502690728</v>
      </c>
      <c r="H129" s="55">
        <f t="shared" si="15"/>
        <v>1286765.2502690728</v>
      </c>
      <c r="I129" s="34">
        <v>865.58</v>
      </c>
      <c r="J129" s="55">
        <f>I129*Data!F96</f>
        <v>952.87652684820966</v>
      </c>
      <c r="K129" s="78"/>
      <c r="L129" s="106">
        <f t="shared" si="17"/>
        <v>6.8594853326665506</v>
      </c>
      <c r="M129" s="106">
        <f t="shared" si="18"/>
        <v>-0.50321675550130163</v>
      </c>
      <c r="N129" s="107">
        <f t="shared" si="16"/>
        <v>14.067642069217898</v>
      </c>
      <c r="O129" s="106">
        <f t="shared" si="19"/>
        <v>-0.37275446595809925</v>
      </c>
      <c r="P129" s="106"/>
    </row>
    <row r="130" spans="1:16">
      <c r="A130">
        <v>2009</v>
      </c>
      <c r="B130" s="55">
        <f>Data!AA97</f>
        <v>221062.02534203816</v>
      </c>
      <c r="C130" s="55">
        <f>Data!AI97</f>
        <v>171236.77239841438</v>
      </c>
      <c r="D130" s="55">
        <f>(Data!W97-Data!V97)/(Data!S97-Data!R97)*1000</f>
        <v>77124.329076017399</v>
      </c>
      <c r="E130" s="55">
        <f>(Data!AE97-Data!AD97)/(Data!S97-Data!R97)*1000</f>
        <v>80337.743785580373</v>
      </c>
      <c r="F130" s="55">
        <f>Data!Z97</f>
        <v>1516501.2917362251</v>
      </c>
      <c r="G130" s="55">
        <f>Data!AH97</f>
        <v>989328.02991392056</v>
      </c>
      <c r="H130" s="55">
        <f t="shared" si="15"/>
        <v>989328.02991392056</v>
      </c>
      <c r="I130" s="34">
        <v>1123.58</v>
      </c>
      <c r="J130" s="55">
        <f>I130*Data!F97</f>
        <v>1241.3129710026712</v>
      </c>
      <c r="K130" s="78"/>
      <c r="L130" s="106">
        <f t="shared" si="17"/>
        <v>7.1239249459981782</v>
      </c>
      <c r="M130" s="106">
        <f t="shared" si="18"/>
        <v>0.26443961333162758</v>
      </c>
      <c r="N130" s="107">
        <f t="shared" si="16"/>
        <v>13.804781233987793</v>
      </c>
      <c r="O130" s="106">
        <f t="shared" si="19"/>
        <v>-0.26286083523010539</v>
      </c>
      <c r="P130" s="106"/>
    </row>
    <row r="131" spans="1:16">
      <c r="A131">
        <v>2010</v>
      </c>
      <c r="B131" s="55">
        <f>Data!AA98</f>
        <v>239918.63954158238</v>
      </c>
      <c r="C131" s="55">
        <f>Data!AI98</f>
        <v>202356.80317720777</v>
      </c>
      <c r="D131" s="55">
        <f>(Data!W98-Data!V98)/(Data!S98-Data!R98)*1000</f>
        <v>91967.121499496978</v>
      </c>
      <c r="E131" s="55">
        <f>(Data!AE98-Data!AD98)/(Data!S98-Data!R98)*1000</f>
        <v>91992.347560784852</v>
      </c>
      <c r="F131" s="55">
        <f>Data!Z98</f>
        <v>1571482.3019203509</v>
      </c>
      <c r="G131" s="55">
        <f>Data!AH98</f>
        <v>1195636.9037250143</v>
      </c>
      <c r="H131" s="55">
        <f t="shared" si="15"/>
        <v>1195636.9037250143</v>
      </c>
      <c r="I131" s="34">
        <v>1282.6199999999999</v>
      </c>
      <c r="J131" s="55">
        <f>I131*Data!F98</f>
        <v>1394.1498722346553</v>
      </c>
      <c r="K131" s="78"/>
      <c r="L131" s="106">
        <f t="shared" si="17"/>
        <v>7.2400400979048838</v>
      </c>
      <c r="M131" s="106">
        <f t="shared" si="18"/>
        <v>0.11611515190670563</v>
      </c>
      <c r="N131" s="107">
        <f t="shared" si="16"/>
        <v>13.994189575196106</v>
      </c>
      <c r="O131" s="106">
        <f t="shared" si="19"/>
        <v>0.1894083412083134</v>
      </c>
      <c r="P131" s="106"/>
    </row>
    <row r="132" spans="1:16">
      <c r="A132">
        <v>2011</v>
      </c>
      <c r="B132" s="55">
        <f>Data!AA99</f>
        <v>250745.68733326663</v>
      </c>
      <c r="C132" s="55">
        <f>Data!AI99</f>
        <v>197329.90780332428</v>
      </c>
      <c r="D132" s="55">
        <f>(Data!W99-Data!V99)/(Data!S99-Data!R99)*1000</f>
        <v>102538.70800397254</v>
      </c>
      <c r="E132" s="55">
        <f>(Data!AE99-Data!AD99)/(Data!S99-Data!R99)*1000</f>
        <v>90942.628196504666</v>
      </c>
      <c r="F132" s="55">
        <f>Data!Z99</f>
        <v>1584608.501296913</v>
      </c>
      <c r="G132" s="55">
        <f>Data!AH99</f>
        <v>1154815.4242647011</v>
      </c>
      <c r="H132" s="55">
        <f t="shared" si="15"/>
        <v>1154815.4242647011</v>
      </c>
      <c r="I132" s="34">
        <v>1300.58</v>
      </c>
      <c r="J132" s="55">
        <f>I132*Data!F99</f>
        <v>1370.41406719155</v>
      </c>
      <c r="K132" s="78"/>
      <c r="L132" s="106">
        <f t="shared" si="17"/>
        <v>7.2228682119831662</v>
      </c>
      <c r="M132" s="106">
        <f t="shared" si="18"/>
        <v>-1.7171885921717589E-2</v>
      </c>
      <c r="N132" s="107">
        <f t="shared" si="16"/>
        <v>13.95945108333629</v>
      </c>
      <c r="O132" s="106">
        <f t="shared" si="19"/>
        <v>-3.4738491859815923E-2</v>
      </c>
      <c r="P132" s="106"/>
    </row>
    <row r="133" spans="1:16">
      <c r="A133">
        <v>2012</v>
      </c>
      <c r="B133" s="55">
        <f>Data!AA100</f>
        <v>209052.74189945389</v>
      </c>
      <c r="C133" s="55">
        <f>Data!AI100</f>
        <v>299778.0994426831</v>
      </c>
      <c r="D133" s="55">
        <f>(Data!W100-Data!V100)/(Data!S100-Data!R100)*1000</f>
        <v>103377.78444894429</v>
      </c>
      <c r="E133" s="55">
        <f>(Data!AE100-Data!AD100)/(Data!S100-Data!R100)*1000</f>
        <v>116309.00981868873</v>
      </c>
      <c r="F133" s="55">
        <f>Data!Z100</f>
        <v>1160127.3589540399</v>
      </c>
      <c r="G133" s="55">
        <f>Data!AH100</f>
        <v>1950999.9060586321</v>
      </c>
      <c r="H133" s="55">
        <f t="shared" si="15"/>
        <v>1950999.9060586321</v>
      </c>
      <c r="I133" s="34">
        <v>1480.4</v>
      </c>
      <c r="J133" s="55">
        <f>I133*Data!F100</f>
        <v>1528.2627890972765</v>
      </c>
      <c r="K133" s="78"/>
      <c r="L133" s="106">
        <f t="shared" si="17"/>
        <v>7.3318869373326949</v>
      </c>
      <c r="M133" s="106">
        <f t="shared" si="18"/>
        <v>0.10901872534952872</v>
      </c>
      <c r="N133" s="107">
        <f t="shared" si="16"/>
        <v>14.483852571454879</v>
      </c>
      <c r="O133" s="106">
        <f t="shared" si="19"/>
        <v>0.52440148811858833</v>
      </c>
      <c r="P133" s="106"/>
    </row>
    <row r="134" spans="1:16">
      <c r="A134">
        <v>2013</v>
      </c>
      <c r="B134" s="55"/>
      <c r="C134" s="55">
        <f>Data!AI101</f>
        <v>249334.47447033052</v>
      </c>
      <c r="E134" s="55">
        <f>(Data!AE101-Data!AD101)/(Data!S101-Data!R101)*1000</f>
        <v>102088.35087499637</v>
      </c>
      <c r="F134" s="55"/>
      <c r="G134" s="55">
        <f>Data!AH101</f>
        <v>1574549.586828338</v>
      </c>
      <c r="H134" s="55">
        <f t="shared" si="15"/>
        <v>1574549.586828338</v>
      </c>
      <c r="I134" s="34">
        <v>1822.36</v>
      </c>
      <c r="J134" s="55">
        <f>I134*Data!F101</f>
        <v>1854.1202888086646</v>
      </c>
      <c r="K134" s="78"/>
      <c r="L134" s="106">
        <f t="shared" si="17"/>
        <v>7.5251656247162115</v>
      </c>
      <c r="M134" s="106">
        <f t="shared" si="18"/>
        <v>0.19327868738351661</v>
      </c>
      <c r="N134" s="107">
        <f t="shared" si="16"/>
        <v>14.269479812725832</v>
      </c>
      <c r="O134" s="106">
        <f t="shared" si="19"/>
        <v>-0.21437275872904671</v>
      </c>
      <c r="P134" s="106"/>
    </row>
    <row r="135" spans="1:16">
      <c r="A135">
        <v>2014</v>
      </c>
      <c r="B135" s="55"/>
      <c r="C135" s="55">
        <f>Data!AI102</f>
        <v>276348.1088584229</v>
      </c>
      <c r="E135" s="55">
        <f>(Data!AE102-Data!AD102)/(Data!S102-Data!R102)*1000</f>
        <v>115821.08132160974</v>
      </c>
      <c r="F135" s="55"/>
      <c r="G135" s="55">
        <f>Data!AH102</f>
        <v>1721091.3566897416</v>
      </c>
      <c r="H135" s="55">
        <f t="shared" si="15"/>
        <v>1721091.3566897416</v>
      </c>
      <c r="I135" s="34">
        <v>2028.18</v>
      </c>
      <c r="J135" s="55">
        <f>I135*Data!F102</f>
        <v>2030.5874014091653</v>
      </c>
      <c r="K135" s="78"/>
      <c r="L135" s="106">
        <f t="shared" si="17"/>
        <v>7.6160803904792971</v>
      </c>
      <c r="M135" s="106">
        <f t="shared" si="18"/>
        <v>9.0914765763085548E-2</v>
      </c>
      <c r="N135" s="107">
        <f t="shared" si="16"/>
        <v>14.358469157276803</v>
      </c>
      <c r="O135" s="106">
        <f t="shared" si="19"/>
        <v>8.8989344550970628E-2</v>
      </c>
      <c r="P135" s="106"/>
    </row>
    <row r="136" spans="1:16">
      <c r="A136">
        <v>2015</v>
      </c>
      <c r="B136" s="55"/>
      <c r="C136" s="55">
        <f>Data!AI103</f>
        <v>291771.4229771567</v>
      </c>
      <c r="E136" s="55">
        <f>(Data!AE103-Data!AD103)/(Data!S103-Data!R103)*1000</f>
        <v>124215.50553649625</v>
      </c>
      <c r="F136" s="55"/>
      <c r="G136" s="55">
        <f>Data!AH103</f>
        <v>1799774.6799431008</v>
      </c>
      <c r="H136" s="55">
        <f t="shared" si="15"/>
        <v>1799774.6799431008</v>
      </c>
      <c r="I136" s="34">
        <v>1918.6</v>
      </c>
      <c r="J136" s="55">
        <f>I136*Data!F103</f>
        <v>1918.5999999999995</v>
      </c>
      <c r="K136" s="78"/>
      <c r="L136" s="106">
        <f t="shared" si="17"/>
        <v>7.5593510323838471</v>
      </c>
      <c r="M136" s="106">
        <f t="shared" si="18"/>
        <v>-5.6729358095449989E-2</v>
      </c>
      <c r="N136" s="107">
        <f t="shared" si="16"/>
        <v>14.403172037221609</v>
      </c>
      <c r="O136" s="106">
        <f t="shared" si="19"/>
        <v>4.4702879944805929E-2</v>
      </c>
      <c r="P136" s="106"/>
    </row>
    <row r="137" spans="1:16">
      <c r="A137">
        <v>2016</v>
      </c>
      <c r="B137" s="55"/>
      <c r="C137" s="55">
        <f>Data!AI104</f>
        <v>337419.38468125236</v>
      </c>
      <c r="E137" s="55">
        <f>(Data!AE104-Data!AD104)/(Data!S104-Data!R104)*1000</f>
        <v>131002.17902699631</v>
      </c>
      <c r="F137" s="55"/>
      <c r="G137" s="55">
        <f>Data!AH104</f>
        <v>2195174.2355695567</v>
      </c>
      <c r="H137" s="55">
        <f t="shared" si="15"/>
        <v>2195174.2355695567</v>
      </c>
      <c r="I137" s="34">
        <v>2275.12</v>
      </c>
      <c r="J137" s="55">
        <f>I137*Data!F104</f>
        <v>2246.1498811544993</v>
      </c>
      <c r="L137" s="106">
        <f t="shared" si="17"/>
        <v>7.716972865553843</v>
      </c>
      <c r="M137" s="106">
        <f t="shared" si="18"/>
        <v>0.1576218331699959</v>
      </c>
      <c r="N137" s="107">
        <f t="shared" si="16"/>
        <v>14.601771979732709</v>
      </c>
      <c r="O137" s="106">
        <f t="shared" si="19"/>
        <v>0.19859994251110002</v>
      </c>
      <c r="P137" s="106"/>
    </row>
    <row r="138" spans="1:16">
      <c r="A138">
        <v>2017</v>
      </c>
      <c r="C138" s="34"/>
      <c r="D138" s="34"/>
      <c r="E138" s="34"/>
    </row>
    <row r="139" spans="1:16">
      <c r="A139">
        <v>2018</v>
      </c>
      <c r="C139" s="34"/>
      <c r="D139" s="34"/>
      <c r="E139" s="34"/>
    </row>
    <row r="140" spans="1:16">
      <c r="A140">
        <v>2019</v>
      </c>
      <c r="C140" s="34"/>
      <c r="D140" s="34"/>
      <c r="E140" s="34"/>
    </row>
    <row r="141" spans="1:16">
      <c r="A141">
        <v>2020</v>
      </c>
      <c r="C141" s="34"/>
      <c r="D141" s="34"/>
      <c r="E141" s="34"/>
    </row>
    <row r="142" spans="1:16">
      <c r="C142" s="34"/>
      <c r="D142" s="34"/>
      <c r="E142" s="34"/>
    </row>
    <row r="143" spans="1:16">
      <c r="A143" s="31" t="s">
        <v>39</v>
      </c>
    </row>
    <row r="144" spans="1:16">
      <c r="A144" s="31" t="s">
        <v>42</v>
      </c>
    </row>
  </sheetData>
  <sortState ref="B37:C135">
    <sortCondition ref="B37:B135"/>
  </sortState>
  <mergeCells count="8">
    <mergeCell ref="D36:E36"/>
    <mergeCell ref="B35:H35"/>
    <mergeCell ref="B36:C36"/>
    <mergeCell ref="F36:H36"/>
    <mergeCell ref="A28:N28"/>
    <mergeCell ref="A29:N29"/>
    <mergeCell ref="L35:M35"/>
    <mergeCell ref="N35:O35"/>
  </mergeCells>
  <hyperlinks>
    <hyperlink ref="L1" location="Index!A1" display="index"/>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16"/>
  <sheetViews>
    <sheetView workbookViewId="0">
      <selection activeCell="G47" sqref="G47"/>
    </sheetView>
  </sheetViews>
  <sheetFormatPr defaultRowHeight="14.4"/>
  <cols>
    <col min="2" max="2" width="11.44140625" customWidth="1"/>
    <col min="3" max="3" width="3.44140625" customWidth="1"/>
    <col min="10" max="10" width="4" customWidth="1"/>
    <col min="12" max="12" width="8.6640625" customWidth="1"/>
    <col min="13" max="13" width="8.5546875" customWidth="1"/>
    <col min="14" max="14" width="8.33203125" customWidth="1"/>
    <col min="15" max="15" width="8.6640625" customWidth="1"/>
    <col min="16" max="16" width="8.33203125" customWidth="1"/>
    <col min="18" max="18" width="2.5546875" customWidth="1"/>
    <col min="19" max="22" width="9.109375" customWidth="1"/>
    <col min="23" max="23" width="5" customWidth="1"/>
    <col min="24" max="24" width="10" customWidth="1"/>
    <col min="29" max="29" width="11.109375" customWidth="1"/>
    <col min="30" max="30" width="3.5546875" customWidth="1"/>
  </cols>
  <sheetData>
    <row r="1" spans="1:42">
      <c r="A1" s="68" t="s">
        <v>142</v>
      </c>
      <c r="F1" s="99" t="s">
        <v>143</v>
      </c>
    </row>
    <row r="2" spans="1:42" ht="30.75" customHeight="1">
      <c r="D2" s="121" t="s">
        <v>27</v>
      </c>
      <c r="E2" s="121"/>
      <c r="F2" s="121"/>
      <c r="G2" s="121"/>
      <c r="H2" s="121"/>
      <c r="I2" s="121"/>
      <c r="J2" s="121"/>
      <c r="K2" s="121" t="s">
        <v>30</v>
      </c>
      <c r="L2" s="121"/>
      <c r="M2" s="121"/>
      <c r="N2" s="121"/>
      <c r="O2" s="121"/>
      <c r="P2" s="121"/>
      <c r="Q2" s="121"/>
      <c r="R2" s="74"/>
      <c r="S2" s="50"/>
      <c r="T2" s="50"/>
      <c r="U2" s="50"/>
      <c r="V2" s="50"/>
      <c r="X2" s="121" t="s">
        <v>33</v>
      </c>
      <c r="Y2" s="121"/>
      <c r="Z2" s="121"/>
      <c r="AA2" s="121"/>
      <c r="AB2" s="121"/>
      <c r="AC2" s="121"/>
      <c r="AD2" s="121"/>
      <c r="AE2" s="121"/>
      <c r="AF2" s="121"/>
      <c r="AG2" s="121"/>
      <c r="AH2" s="121"/>
      <c r="AI2" s="121"/>
      <c r="AJ2" s="121"/>
    </row>
    <row r="3" spans="1:42" ht="39" customHeight="1">
      <c r="B3" s="35"/>
      <c r="C3" s="35"/>
      <c r="D3" s="120" t="s">
        <v>17</v>
      </c>
      <c r="E3" s="120"/>
      <c r="F3" s="120"/>
      <c r="G3" s="120"/>
      <c r="H3" s="120"/>
      <c r="I3" s="120"/>
      <c r="J3" s="30"/>
      <c r="K3" s="120" t="s">
        <v>17</v>
      </c>
      <c r="L3" s="120"/>
      <c r="M3" s="120"/>
      <c r="N3" s="120"/>
      <c r="O3" s="120"/>
      <c r="P3" s="120"/>
      <c r="Q3" s="120"/>
      <c r="R3" s="30"/>
      <c r="S3" s="123" t="s">
        <v>67</v>
      </c>
      <c r="T3" s="123"/>
      <c r="U3" s="123"/>
      <c r="V3" s="123"/>
      <c r="X3" s="122" t="s">
        <v>32</v>
      </c>
      <c r="Y3" s="122"/>
      <c r="Z3" s="122"/>
      <c r="AA3" s="122"/>
      <c r="AB3" s="122"/>
      <c r="AC3" s="122"/>
      <c r="AE3" s="120" t="s">
        <v>17</v>
      </c>
      <c r="AF3" s="120"/>
      <c r="AG3" s="120"/>
      <c r="AH3" s="120"/>
      <c r="AI3" s="120"/>
      <c r="AJ3" s="120"/>
    </row>
    <row r="4" spans="1:42" ht="19.5" customHeight="1">
      <c r="B4" s="27" t="s">
        <v>18</v>
      </c>
      <c r="C4" s="27"/>
      <c r="D4" s="27" t="s">
        <v>14</v>
      </c>
      <c r="E4" s="27" t="s">
        <v>15</v>
      </c>
      <c r="F4" s="27" t="s">
        <v>4</v>
      </c>
      <c r="G4" s="27" t="s">
        <v>3</v>
      </c>
      <c r="H4" s="27" t="s">
        <v>1</v>
      </c>
      <c r="I4" s="27" t="s">
        <v>2</v>
      </c>
      <c r="J4" s="27"/>
      <c r="K4" s="27" t="s">
        <v>9</v>
      </c>
      <c r="L4" s="27" t="s">
        <v>14</v>
      </c>
      <c r="M4" s="27" t="s">
        <v>15</v>
      </c>
      <c r="N4" s="27" t="s">
        <v>4</v>
      </c>
      <c r="O4" s="27" t="s">
        <v>3</v>
      </c>
      <c r="P4" s="27" t="s">
        <v>1</v>
      </c>
      <c r="Q4" s="27" t="s">
        <v>2</v>
      </c>
      <c r="R4" s="27"/>
      <c r="S4" s="27" t="s">
        <v>9</v>
      </c>
      <c r="T4" s="27" t="s">
        <v>4</v>
      </c>
      <c r="U4" s="27" t="s">
        <v>1</v>
      </c>
      <c r="V4" s="27" t="s">
        <v>2</v>
      </c>
      <c r="X4" s="27" t="s">
        <v>14</v>
      </c>
      <c r="Y4" s="27" t="s">
        <v>15</v>
      </c>
      <c r="Z4" s="27" t="s">
        <v>4</v>
      </c>
      <c r="AA4" s="27" t="s">
        <v>3</v>
      </c>
      <c r="AB4" s="27" t="s">
        <v>1</v>
      </c>
      <c r="AC4" s="27" t="s">
        <v>2</v>
      </c>
      <c r="AD4" s="37"/>
      <c r="AE4" s="36" t="s">
        <v>14</v>
      </c>
      <c r="AF4" s="36" t="s">
        <v>15</v>
      </c>
      <c r="AG4" s="36" t="s">
        <v>4</v>
      </c>
      <c r="AH4" s="36" t="s">
        <v>3</v>
      </c>
      <c r="AI4" s="36" t="s">
        <v>1</v>
      </c>
      <c r="AJ4" s="36" t="s">
        <v>2</v>
      </c>
      <c r="AK4" s="38"/>
      <c r="AL4" s="38"/>
      <c r="AM4" s="38"/>
      <c r="AN4" s="38"/>
      <c r="AO4" s="38"/>
      <c r="AP4" s="38"/>
    </row>
    <row r="5" spans="1:42">
      <c r="B5" s="28" t="s">
        <v>16</v>
      </c>
      <c r="C5" s="28"/>
      <c r="D5" s="28" t="s">
        <v>16</v>
      </c>
      <c r="E5" s="28" t="s">
        <v>16</v>
      </c>
      <c r="F5" s="28" t="s">
        <v>16</v>
      </c>
      <c r="G5" s="28" t="s">
        <v>16</v>
      </c>
      <c r="H5" s="28" t="s">
        <v>16</v>
      </c>
      <c r="I5" s="28" t="s">
        <v>16</v>
      </c>
      <c r="J5" s="28"/>
      <c r="K5" s="28" t="s">
        <v>16</v>
      </c>
      <c r="L5" s="28" t="s">
        <v>16</v>
      </c>
      <c r="M5" s="28" t="s">
        <v>16</v>
      </c>
      <c r="N5" s="28" t="s">
        <v>16</v>
      </c>
      <c r="O5" s="28" t="s">
        <v>16</v>
      </c>
      <c r="P5" s="28" t="s">
        <v>16</v>
      </c>
      <c r="Q5" s="28" t="s">
        <v>16</v>
      </c>
      <c r="R5" s="27"/>
      <c r="S5" s="28" t="s">
        <v>66</v>
      </c>
      <c r="T5" s="28" t="s">
        <v>66</v>
      </c>
      <c r="U5" s="28" t="s">
        <v>66</v>
      </c>
      <c r="V5" s="28" t="s">
        <v>66</v>
      </c>
      <c r="X5" s="35"/>
      <c r="Y5" s="35"/>
      <c r="Z5" s="35"/>
      <c r="AA5" s="35"/>
      <c r="AB5" s="35"/>
      <c r="AC5" s="35"/>
      <c r="AD5" s="35"/>
      <c r="AE5" s="28" t="s">
        <v>16</v>
      </c>
      <c r="AF5" s="28" t="s">
        <v>16</v>
      </c>
      <c r="AG5" s="28" t="s">
        <v>16</v>
      </c>
      <c r="AH5" s="28" t="s">
        <v>16</v>
      </c>
      <c r="AI5" s="28" t="s">
        <v>16</v>
      </c>
      <c r="AJ5" s="28" t="s">
        <v>16</v>
      </c>
    </row>
    <row r="6" spans="1:42" ht="10.5" customHeight="1">
      <c r="C6" s="27"/>
      <c r="D6" s="27"/>
      <c r="E6" s="27"/>
      <c r="F6" s="27"/>
      <c r="G6" s="27"/>
      <c r="H6" s="27"/>
      <c r="I6" s="27"/>
      <c r="J6" s="27"/>
      <c r="K6" s="27"/>
      <c r="L6" s="27"/>
      <c r="M6" s="27"/>
      <c r="N6" s="27"/>
      <c r="O6" s="27"/>
      <c r="P6" s="27"/>
      <c r="Q6" s="27"/>
      <c r="R6" s="27"/>
      <c r="S6" s="27"/>
      <c r="T6" s="27"/>
      <c r="U6" s="27"/>
      <c r="V6" s="27"/>
      <c r="X6" s="33"/>
      <c r="Y6" s="33"/>
      <c r="Z6" s="33"/>
      <c r="AA6" s="33"/>
      <c r="AB6" s="33"/>
      <c r="AC6" s="33"/>
      <c r="AD6" s="32"/>
      <c r="AE6" s="29"/>
      <c r="AF6" s="29"/>
      <c r="AG6" s="29"/>
      <c r="AH6" s="29"/>
      <c r="AI6" s="29"/>
      <c r="AJ6" s="29"/>
    </row>
    <row r="7" spans="1:42" ht="10.5" customHeight="1">
      <c r="A7">
        <v>1913</v>
      </c>
      <c r="B7" s="29">
        <v>33790.941130059829</v>
      </c>
      <c r="C7" s="27"/>
      <c r="D7" s="27"/>
      <c r="E7" s="27"/>
      <c r="F7" s="27"/>
      <c r="G7" s="27"/>
      <c r="H7" s="27"/>
      <c r="I7" s="27"/>
      <c r="J7" s="27"/>
      <c r="K7" s="27"/>
      <c r="L7" s="27"/>
      <c r="M7" s="27"/>
      <c r="N7" s="27"/>
      <c r="O7" s="27"/>
      <c r="P7" s="27"/>
      <c r="Q7" s="27"/>
      <c r="R7" s="27"/>
      <c r="S7" s="27"/>
      <c r="T7" s="27"/>
      <c r="U7" s="27"/>
      <c r="V7" s="27"/>
      <c r="X7" s="33">
        <v>0.42296954409694504</v>
      </c>
      <c r="Y7" s="33">
        <v>0.31584089405299437</v>
      </c>
      <c r="Z7" s="33">
        <v>0.18827062725530269</v>
      </c>
      <c r="AA7" s="33">
        <v>0.15824715795810698</v>
      </c>
      <c r="AB7" s="33">
        <v>9.3394673731687791E-2</v>
      </c>
      <c r="AC7" s="33">
        <v>2.9486741781794053E-2</v>
      </c>
      <c r="AD7" s="32"/>
      <c r="AE7" s="29">
        <f t="shared" ref="AE7:AE38" si="0">X7*$B7</f>
        <v>14292.538964388115</v>
      </c>
      <c r="AF7" s="29">
        <f t="shared" ref="AF7:AF38" si="1">Y7*$B7</f>
        <v>10672.561057410196</v>
      </c>
      <c r="AG7" s="29">
        <f t="shared" ref="AG7:AG38" si="2">Z7*$B7</f>
        <v>6361.8416821033707</v>
      </c>
      <c r="AH7" s="29">
        <f t="shared" ref="AH7:AH38" si="3">AA7*$B7</f>
        <v>5347.3203985616719</v>
      </c>
      <c r="AI7" s="29">
        <f t="shared" ref="AI7:AI38" si="4">AB7*$B7</f>
        <v>3155.8939219286071</v>
      </c>
      <c r="AJ7" s="29">
        <f t="shared" ref="AJ7:AJ38" si="5">AC7*$B7</f>
        <v>996.38475566587829</v>
      </c>
    </row>
    <row r="8" spans="1:42" ht="10.5" customHeight="1">
      <c r="A8">
        <f>A7+1</f>
        <v>1914</v>
      </c>
      <c r="B8" s="29">
        <v>31638.723884142986</v>
      </c>
      <c r="C8" s="27"/>
      <c r="D8" s="27"/>
      <c r="E8" s="27"/>
      <c r="F8" s="27"/>
      <c r="G8" s="27"/>
      <c r="H8" s="27"/>
      <c r="I8" s="27"/>
      <c r="J8" s="27"/>
      <c r="K8" s="27"/>
      <c r="L8" s="27"/>
      <c r="M8" s="27"/>
      <c r="N8" s="27"/>
      <c r="O8" s="27"/>
      <c r="P8" s="27"/>
      <c r="Q8" s="27"/>
      <c r="R8" s="27"/>
      <c r="S8" s="27"/>
      <c r="T8" s="27"/>
      <c r="U8" s="27"/>
      <c r="V8" s="27"/>
      <c r="X8" s="33">
        <v>0.42941887273751345</v>
      </c>
      <c r="Y8" s="33">
        <v>0.32256163986203656</v>
      </c>
      <c r="Z8" s="33">
        <v>0.19319247162032763</v>
      </c>
      <c r="AA8" s="33">
        <v>0.16361668791413847</v>
      </c>
      <c r="AB8" s="33">
        <v>9.9361218561003758E-2</v>
      </c>
      <c r="AC8" s="33">
        <v>3.1465928379142007E-2</v>
      </c>
      <c r="AD8" s="32"/>
      <c r="AE8" s="29">
        <f t="shared" si="0"/>
        <v>13586.265145182124</v>
      </c>
      <c r="AF8" s="29">
        <f t="shared" si="1"/>
        <v>10205.438659211344</v>
      </c>
      <c r="AG8" s="29">
        <f t="shared" si="2"/>
        <v>6112.363266090676</v>
      </c>
      <c r="AH8" s="29">
        <f t="shared" si="3"/>
        <v>5176.6232117534219</v>
      </c>
      <c r="AI8" s="29">
        <f t="shared" si="4"/>
        <v>3143.662158843581</v>
      </c>
      <c r="AJ8" s="29">
        <f t="shared" si="5"/>
        <v>995.54181974589278</v>
      </c>
    </row>
    <row r="9" spans="1:42" ht="10.5" customHeight="1">
      <c r="A9">
        <f t="shared" ref="A9:A72" si="6">A8+1</f>
        <v>1915</v>
      </c>
      <c r="B9" s="29">
        <v>33619.222516301896</v>
      </c>
      <c r="C9" s="27"/>
      <c r="D9" s="27"/>
      <c r="E9" s="27"/>
      <c r="F9" s="27"/>
      <c r="G9" s="27"/>
      <c r="H9" s="27"/>
      <c r="I9" s="27"/>
      <c r="J9" s="27"/>
      <c r="K9" s="27"/>
      <c r="L9" s="27"/>
      <c r="M9" s="27"/>
      <c r="N9" s="27"/>
      <c r="O9" s="27"/>
      <c r="P9" s="27"/>
      <c r="Q9" s="27"/>
      <c r="R9" s="27"/>
      <c r="S9" s="27"/>
      <c r="T9" s="27"/>
      <c r="U9" s="27"/>
      <c r="V9" s="27"/>
      <c r="X9" s="33">
        <v>0.42174010064715062</v>
      </c>
      <c r="Y9" s="33">
        <v>0.3146388076555347</v>
      </c>
      <c r="Z9" s="33">
        <v>0.18693482076890364</v>
      </c>
      <c r="AA9" s="33">
        <v>0.15878197816549947</v>
      </c>
      <c r="AB9" s="33">
        <v>0.10617111225060445</v>
      </c>
      <c r="AC9" s="33">
        <v>5.0237829764025944E-2</v>
      </c>
      <c r="AD9" s="32"/>
      <c r="AE9" s="29">
        <f t="shared" si="0"/>
        <v>14178.574287704114</v>
      </c>
      <c r="AF9" s="29">
        <f t="shared" si="1"/>
        <v>10577.912086835333</v>
      </c>
      <c r="AG9" s="29">
        <f t="shared" si="2"/>
        <v>6284.6033354747842</v>
      </c>
      <c r="AH9" s="29">
        <f t="shared" si="3"/>
        <v>5338.1266555245156</v>
      </c>
      <c r="AI9" s="29">
        <f t="shared" si="4"/>
        <v>3569.3902475563373</v>
      </c>
      <c r="AJ9" s="29">
        <f t="shared" si="5"/>
        <v>1688.9567775728826</v>
      </c>
    </row>
    <row r="10" spans="1:42" ht="10.5" customHeight="1">
      <c r="A10">
        <f t="shared" si="6"/>
        <v>1916</v>
      </c>
      <c r="B10" s="29">
        <v>42499.592278873104</v>
      </c>
      <c r="C10" s="27"/>
      <c r="D10" s="27"/>
      <c r="E10" s="27"/>
      <c r="F10" s="27"/>
      <c r="G10" s="27"/>
      <c r="H10" s="27"/>
      <c r="I10" s="27"/>
      <c r="J10" s="27"/>
      <c r="K10" s="27"/>
      <c r="L10" s="27"/>
      <c r="M10" s="27"/>
      <c r="N10" s="27"/>
      <c r="O10" s="27"/>
      <c r="P10" s="27"/>
      <c r="Q10" s="27"/>
      <c r="R10" s="27"/>
      <c r="S10" s="27"/>
      <c r="T10" s="27"/>
      <c r="U10" s="27"/>
      <c r="V10" s="27"/>
      <c r="X10" s="33">
        <v>0.44379136118984724</v>
      </c>
      <c r="Y10" s="33">
        <v>0.33943085197099621</v>
      </c>
      <c r="Z10" s="33">
        <v>0.20628356330001546</v>
      </c>
      <c r="AA10" s="33">
        <v>0.17436630819253271</v>
      </c>
      <c r="AB10" s="33">
        <v>0.11058329048033395</v>
      </c>
      <c r="AC10" s="33">
        <v>4.9263917187868142E-2</v>
      </c>
      <c r="AD10" s="32"/>
      <c r="AE10" s="29">
        <f t="shared" si="0"/>
        <v>18860.951907454615</v>
      </c>
      <c r="AF10" s="29">
        <f t="shared" si="1"/>
        <v>14425.67281563787</v>
      </c>
      <c r="AG10" s="29">
        <f t="shared" si="2"/>
        <v>8766.9673340837689</v>
      </c>
      <c r="AH10" s="29">
        <f t="shared" si="3"/>
        <v>7410.4970053549714</v>
      </c>
      <c r="AI10" s="29">
        <f t="shared" si="4"/>
        <v>4699.7447582703826</v>
      </c>
      <c r="AJ10" s="29">
        <f t="shared" si="5"/>
        <v>2093.696394544565</v>
      </c>
    </row>
    <row r="11" spans="1:42" ht="10.5" customHeight="1">
      <c r="A11">
        <f t="shared" si="6"/>
        <v>1917</v>
      </c>
      <c r="B11" s="29">
        <v>50782.75216380434</v>
      </c>
      <c r="C11" s="27"/>
      <c r="D11" s="27"/>
      <c r="E11" s="27"/>
      <c r="F11" s="27"/>
      <c r="G11" s="27"/>
      <c r="H11" s="27"/>
      <c r="I11" s="27"/>
      <c r="J11" s="27"/>
      <c r="K11" s="27"/>
      <c r="L11" s="27"/>
      <c r="M11" s="27"/>
      <c r="N11" s="27"/>
      <c r="O11" s="27"/>
      <c r="P11" s="27"/>
      <c r="Q11" s="27"/>
      <c r="R11" s="27"/>
      <c r="S11" s="27"/>
      <c r="T11" s="27"/>
      <c r="U11" s="27"/>
      <c r="V11" s="27"/>
      <c r="X11" s="33">
        <v>0.44895170198337558</v>
      </c>
      <c r="Y11" s="33">
        <v>0.34583687571462041</v>
      </c>
      <c r="Z11" s="33">
        <v>0.20131292506573878</v>
      </c>
      <c r="AA11" s="33">
        <v>0.16454378386483343</v>
      </c>
      <c r="AB11" s="33">
        <v>9.8592850914119456E-2</v>
      </c>
      <c r="AC11" s="33">
        <v>4.0148427815700376E-2</v>
      </c>
      <c r="AD11" s="32"/>
      <c r="AE11" s="29">
        <f t="shared" si="0"/>
        <v>22799.003015339909</v>
      </c>
      <c r="AF11" s="29">
        <f t="shared" si="1"/>
        <v>17562.548348519973</v>
      </c>
      <c r="AG11" s="29">
        <f t="shared" si="2"/>
        <v>10223.224380983927</v>
      </c>
      <c r="AH11" s="29">
        <f t="shared" si="3"/>
        <v>8355.9861961024235</v>
      </c>
      <c r="AI11" s="29">
        <f t="shared" si="4"/>
        <v>5006.8163130946386</v>
      </c>
      <c r="AJ11" s="29">
        <f t="shared" si="5"/>
        <v>2038.8476595311006</v>
      </c>
    </row>
    <row r="12" spans="1:42" ht="10.5" customHeight="1">
      <c r="A12">
        <f t="shared" si="6"/>
        <v>1918</v>
      </c>
      <c r="B12" s="29">
        <v>62686.737961385734</v>
      </c>
      <c r="C12" s="27"/>
      <c r="D12" s="27"/>
      <c r="E12" s="27"/>
      <c r="F12" s="27"/>
      <c r="G12" s="27"/>
      <c r="H12" s="27"/>
      <c r="I12" s="27"/>
      <c r="J12" s="27"/>
      <c r="K12" s="27"/>
      <c r="L12" s="27"/>
      <c r="M12" s="27"/>
      <c r="N12" s="27"/>
      <c r="O12" s="27"/>
      <c r="P12" s="27"/>
      <c r="Q12" s="27"/>
      <c r="R12" s="27"/>
      <c r="S12" s="27"/>
      <c r="T12" s="27"/>
      <c r="U12" s="27"/>
      <c r="V12" s="27"/>
      <c r="X12" s="33">
        <v>0.43633407960096254</v>
      </c>
      <c r="Y12" s="33">
        <v>0.3385061818628709</v>
      </c>
      <c r="Z12" s="33">
        <v>0.18946341376043802</v>
      </c>
      <c r="AA12" s="33">
        <v>0.1494519263219673</v>
      </c>
      <c r="AB12" s="33">
        <v>8.3598221737462147E-2</v>
      </c>
      <c r="AC12" s="33">
        <v>3.1303945510109885E-2</v>
      </c>
      <c r="AD12" s="32"/>
      <c r="AE12" s="29">
        <f t="shared" si="0"/>
        <v>27352.360111567963</v>
      </c>
      <c r="AF12" s="29">
        <f t="shared" si="1"/>
        <v>21219.848320746973</v>
      </c>
      <c r="AG12" s="29">
        <f t="shared" si="2"/>
        <v>11876.843371670182</v>
      </c>
      <c r="AH12" s="29">
        <f t="shared" si="3"/>
        <v>9368.6537431694906</v>
      </c>
      <c r="AI12" s="29">
        <f t="shared" si="4"/>
        <v>5240.4998200941109</v>
      </c>
      <c r="AJ12" s="29">
        <f t="shared" si="5"/>
        <v>1962.3422293497558</v>
      </c>
    </row>
    <row r="13" spans="1:42" ht="10.5" customHeight="1">
      <c r="A13">
        <f t="shared" si="6"/>
        <v>1919</v>
      </c>
      <c r="B13" s="29">
        <v>69198.050656415275</v>
      </c>
      <c r="C13" s="27"/>
      <c r="D13" s="27"/>
      <c r="E13" s="27"/>
      <c r="F13" s="27"/>
      <c r="G13" s="27"/>
      <c r="H13" s="27"/>
      <c r="I13" s="27"/>
      <c r="J13" s="27"/>
      <c r="K13" s="27"/>
      <c r="L13" s="27"/>
      <c r="M13" s="27"/>
      <c r="N13" s="27"/>
      <c r="O13" s="27"/>
      <c r="P13" s="27"/>
      <c r="Q13" s="27"/>
      <c r="R13" s="27"/>
      <c r="S13" s="27"/>
      <c r="T13" s="27"/>
      <c r="U13" s="27"/>
      <c r="V13" s="27"/>
      <c r="X13" s="33">
        <v>0.45429846691761566</v>
      </c>
      <c r="Y13" s="33">
        <v>0.36366539627960609</v>
      </c>
      <c r="Z13" s="33">
        <v>0.21001701811240109</v>
      </c>
      <c r="AA13" s="33">
        <v>0.16515788573709136</v>
      </c>
      <c r="AB13" s="33">
        <v>9.0293726339565034E-2</v>
      </c>
      <c r="AC13" s="33">
        <v>3.1963854337219058E-2</v>
      </c>
      <c r="AD13" s="32"/>
      <c r="AE13" s="29">
        <f t="shared" si="0"/>
        <v>31436.568326896966</v>
      </c>
      <c r="AF13" s="29">
        <f t="shared" si="1"/>
        <v>25164.936513741519</v>
      </c>
      <c r="AG13" s="29">
        <f t="shared" si="2"/>
        <v>14532.768258051216</v>
      </c>
      <c r="AH13" s="29">
        <f t="shared" si="3"/>
        <v>11428.603743541695</v>
      </c>
      <c r="AI13" s="29">
        <f t="shared" si="4"/>
        <v>6248.149849201719</v>
      </c>
      <c r="AJ13" s="29">
        <f t="shared" si="5"/>
        <v>2211.8364116011635</v>
      </c>
    </row>
    <row r="14" spans="1:42" ht="10.5" customHeight="1">
      <c r="A14">
        <f t="shared" si="6"/>
        <v>1920</v>
      </c>
      <c r="B14" s="29">
        <v>79858.720772879984</v>
      </c>
      <c r="C14" s="27"/>
      <c r="D14" s="27"/>
      <c r="E14" s="27"/>
      <c r="F14" s="27"/>
      <c r="G14" s="27"/>
      <c r="H14" s="27"/>
      <c r="I14" s="27"/>
      <c r="J14" s="27"/>
      <c r="K14" s="27"/>
      <c r="L14" s="27"/>
      <c r="M14" s="27"/>
      <c r="N14" s="27"/>
      <c r="O14" s="27"/>
      <c r="P14" s="27"/>
      <c r="Q14" s="27"/>
      <c r="R14" s="27"/>
      <c r="S14" s="27"/>
      <c r="T14" s="27"/>
      <c r="U14" s="27"/>
      <c r="V14" s="27"/>
      <c r="X14" s="33">
        <v>0.43429936579422218</v>
      </c>
      <c r="Y14" s="33">
        <v>0.33674679332018226</v>
      </c>
      <c r="Z14" s="33">
        <v>0.18395615893405276</v>
      </c>
      <c r="AA14" s="33">
        <v>0.14077928385161101</v>
      </c>
      <c r="AB14" s="33">
        <v>7.0215687954096814E-2</v>
      </c>
      <c r="AC14" s="33">
        <v>2.1992551587303386E-2</v>
      </c>
      <c r="AD14" s="32"/>
      <c r="AE14" s="29">
        <f t="shared" si="0"/>
        <v>34682.591784799653</v>
      </c>
      <c r="AF14" s="29">
        <f t="shared" si="1"/>
        <v>26892.168138919162</v>
      </c>
      <c r="AG14" s="29">
        <f t="shared" si="2"/>
        <v>14690.503530766051</v>
      </c>
      <c r="AH14" s="29">
        <f t="shared" si="3"/>
        <v>11242.453519711817</v>
      </c>
      <c r="AI14" s="29">
        <f t="shared" si="4"/>
        <v>5607.3350182018903</v>
      </c>
      <c r="AJ14" s="29">
        <f t="shared" si="5"/>
        <v>1756.2970362936196</v>
      </c>
    </row>
    <row r="15" spans="1:42" ht="10.5" customHeight="1">
      <c r="A15">
        <f t="shared" si="6"/>
        <v>1921</v>
      </c>
      <c r="B15" s="29">
        <v>63909.301838547515</v>
      </c>
      <c r="C15" s="27"/>
      <c r="D15" s="27"/>
      <c r="E15" s="27"/>
      <c r="F15" s="27"/>
      <c r="G15" s="27"/>
      <c r="H15" s="27"/>
      <c r="I15" s="27"/>
      <c r="J15" s="27"/>
      <c r="K15" s="27"/>
      <c r="L15" s="27"/>
      <c r="M15" s="27"/>
      <c r="N15" s="27"/>
      <c r="O15" s="27"/>
      <c r="P15" s="27"/>
      <c r="Q15" s="27"/>
      <c r="R15" s="27"/>
      <c r="S15" s="27"/>
      <c r="T15" s="27"/>
      <c r="U15" s="27"/>
      <c r="V15" s="27"/>
      <c r="X15" s="33">
        <v>0.46515794296009616</v>
      </c>
      <c r="Y15" s="33">
        <v>0.34789430123479848</v>
      </c>
      <c r="Z15" s="33">
        <v>0.1808869153776988</v>
      </c>
      <c r="AA15" s="33">
        <v>0.13729751915755498</v>
      </c>
      <c r="AB15" s="33">
        <v>6.696334574961875E-2</v>
      </c>
      <c r="AC15" s="33">
        <v>1.9824095632848312E-2</v>
      </c>
      <c r="AD15" s="32"/>
      <c r="AE15" s="29">
        <f t="shared" si="0"/>
        <v>29727.919379234652</v>
      </c>
      <c r="AF15" s="29">
        <f t="shared" si="1"/>
        <v>22233.681905525311</v>
      </c>
      <c r="AG15" s="29">
        <f t="shared" si="2"/>
        <v>11560.356473517155</v>
      </c>
      <c r="AH15" s="29">
        <f t="shared" si="3"/>
        <v>8774.5885935239403</v>
      </c>
      <c r="AI15" s="29">
        <f t="shared" si="4"/>
        <v>4279.5806756314023</v>
      </c>
      <c r="AJ15" s="29">
        <f t="shared" si="5"/>
        <v>1266.9441114759343</v>
      </c>
    </row>
    <row r="16" spans="1:42" ht="10.5" customHeight="1">
      <c r="A16">
        <f t="shared" si="6"/>
        <v>1922</v>
      </c>
      <c r="B16" s="29">
        <v>65350.540489948798</v>
      </c>
      <c r="C16" s="27"/>
      <c r="D16" s="27"/>
      <c r="E16" s="27"/>
      <c r="F16" s="27"/>
      <c r="G16" s="27"/>
      <c r="H16" s="27"/>
      <c r="I16" s="27"/>
      <c r="J16" s="27"/>
      <c r="K16" s="27"/>
      <c r="L16" s="27"/>
      <c r="M16" s="27"/>
      <c r="N16" s="27"/>
      <c r="O16" s="27"/>
      <c r="P16" s="27"/>
      <c r="Q16" s="27"/>
      <c r="R16" s="27"/>
      <c r="S16" s="27"/>
      <c r="T16" s="27"/>
      <c r="U16" s="27"/>
      <c r="V16" s="27"/>
      <c r="X16" s="33">
        <v>0.45526437486039367</v>
      </c>
      <c r="Y16" s="33">
        <v>0.34059510109753444</v>
      </c>
      <c r="Z16" s="33">
        <v>0.17617147966502589</v>
      </c>
      <c r="AA16" s="33">
        <v>0.13363685198910186</v>
      </c>
      <c r="AB16" s="33">
        <v>6.5441499418473131E-2</v>
      </c>
      <c r="AC16" s="33">
        <v>2.0598452858217799E-2</v>
      </c>
      <c r="AD16" s="32"/>
      <c r="AE16" s="29">
        <f t="shared" si="0"/>
        <v>29751.772962945386</v>
      </c>
      <c r="AF16" s="29">
        <f t="shared" si="1"/>
        <v>22258.07394495263</v>
      </c>
      <c r="AG16" s="29">
        <f t="shared" si="2"/>
        <v>11512.901415023465</v>
      </c>
      <c r="AH16" s="29">
        <f t="shared" si="3"/>
        <v>8733.240506863096</v>
      </c>
      <c r="AI16" s="29">
        <f t="shared" si="4"/>
        <v>4276.6373574698891</v>
      </c>
      <c r="AJ16" s="29">
        <f t="shared" si="5"/>
        <v>1346.1200275412639</v>
      </c>
    </row>
    <row r="17" spans="1:36" ht="10.5" customHeight="1">
      <c r="A17">
        <f t="shared" si="6"/>
        <v>1923</v>
      </c>
      <c r="B17" s="29">
        <v>77119.866204613558</v>
      </c>
      <c r="C17" s="27"/>
      <c r="D17" s="27"/>
      <c r="E17" s="27"/>
      <c r="F17" s="27"/>
      <c r="G17" s="27"/>
      <c r="H17" s="27"/>
      <c r="I17" s="27"/>
      <c r="J17" s="27"/>
      <c r="K17" s="27"/>
      <c r="L17" s="27"/>
      <c r="M17" s="27"/>
      <c r="N17" s="27"/>
      <c r="O17" s="27"/>
      <c r="P17" s="27"/>
      <c r="Q17" s="27"/>
      <c r="R17" s="27"/>
      <c r="S17" s="27"/>
      <c r="T17" s="27"/>
      <c r="U17" s="27"/>
      <c r="V17" s="27"/>
      <c r="X17" s="33">
        <v>0.4309147492314564</v>
      </c>
      <c r="Y17" s="33">
        <v>0.32391846257565737</v>
      </c>
      <c r="Z17" s="33">
        <v>0.16874805512260885</v>
      </c>
      <c r="AA17" s="33">
        <v>0.12948739822580232</v>
      </c>
      <c r="AB17" s="33">
        <v>6.4847533941974844E-2</v>
      </c>
      <c r="AC17" s="33">
        <v>2.1252701389381509E-2</v>
      </c>
      <c r="AD17" s="32"/>
      <c r="AE17" s="29">
        <f t="shared" si="0"/>
        <v>33232.087806324518</v>
      </c>
      <c r="AF17" s="29">
        <f t="shared" si="1"/>
        <v>24980.54849503882</v>
      </c>
      <c r="AG17" s="29">
        <f t="shared" si="2"/>
        <v>13013.827433344348</v>
      </c>
      <c r="AH17" s="29">
        <f t="shared" si="3"/>
        <v>9986.0508263573902</v>
      </c>
      <c r="AI17" s="29">
        <f t="shared" si="4"/>
        <v>5001.0331413042368</v>
      </c>
      <c r="AJ17" s="29">
        <f t="shared" si="5"/>
        <v>1639.0054876357067</v>
      </c>
    </row>
    <row r="18" spans="1:36" ht="10.5" customHeight="1">
      <c r="A18">
        <f t="shared" si="6"/>
        <v>1924</v>
      </c>
      <c r="B18" s="29">
        <v>77846.420135420136</v>
      </c>
      <c r="C18" s="27"/>
      <c r="D18" s="27"/>
      <c r="E18" s="27"/>
      <c r="F18" s="27"/>
      <c r="G18" s="27"/>
      <c r="H18" s="27"/>
      <c r="I18" s="27"/>
      <c r="J18" s="27"/>
      <c r="K18" s="27"/>
      <c r="L18" s="27"/>
      <c r="M18" s="27"/>
      <c r="N18" s="27"/>
      <c r="O18" s="27"/>
      <c r="P18" s="27"/>
      <c r="Q18" s="27"/>
      <c r="R18" s="27"/>
      <c r="S18" s="27"/>
      <c r="T18" s="27"/>
      <c r="U18" s="27"/>
      <c r="V18" s="27"/>
      <c r="X18" s="33">
        <v>0.45254631683040591</v>
      </c>
      <c r="Y18" s="33">
        <v>0.33814931906823303</v>
      </c>
      <c r="Z18" s="33">
        <v>0.17595143857015641</v>
      </c>
      <c r="AA18" s="33">
        <v>0.13482423483460743</v>
      </c>
      <c r="AB18" s="33">
        <v>6.7236864522468173E-2</v>
      </c>
      <c r="AC18" s="33">
        <v>2.1944173218188246E-2</v>
      </c>
      <c r="AD18" s="32"/>
      <c r="AE18" s="29">
        <f t="shared" si="0"/>
        <v>35229.110710716734</v>
      </c>
      <c r="AF18" s="29">
        <f t="shared" si="1"/>
        <v>26323.713960691905</v>
      </c>
      <c r="AG18" s="29">
        <f t="shared" si="2"/>
        <v>13697.189610363963</v>
      </c>
      <c r="AH18" s="29">
        <f t="shared" si="3"/>
        <v>10495.584029371397</v>
      </c>
      <c r="AI18" s="29">
        <f t="shared" si="4"/>
        <v>5234.1492042043819</v>
      </c>
      <c r="AJ18" s="29">
        <f t="shared" si="5"/>
        <v>1708.2753278675168</v>
      </c>
    </row>
    <row r="19" spans="1:36" ht="10.5" customHeight="1">
      <c r="A19">
        <f t="shared" si="6"/>
        <v>1925</v>
      </c>
      <c r="B19" s="29">
        <v>82069.410981600784</v>
      </c>
      <c r="C19" s="27"/>
      <c r="D19" s="27"/>
      <c r="E19" s="27"/>
      <c r="F19" s="27"/>
      <c r="G19" s="27"/>
      <c r="H19" s="27"/>
      <c r="I19" s="27"/>
      <c r="J19" s="27"/>
      <c r="K19" s="27"/>
      <c r="L19" s="27"/>
      <c r="M19" s="27"/>
      <c r="N19" s="27"/>
      <c r="O19" s="27"/>
      <c r="P19" s="27"/>
      <c r="Q19" s="27"/>
      <c r="R19" s="27"/>
      <c r="S19" s="27"/>
      <c r="T19" s="27"/>
      <c r="U19" s="27"/>
      <c r="V19" s="27"/>
      <c r="X19" s="33">
        <v>0.47081604836597113</v>
      </c>
      <c r="Y19" s="33">
        <v>0.3636523308484087</v>
      </c>
      <c r="Z19" s="33">
        <v>0.19938048876509284</v>
      </c>
      <c r="AA19" s="33">
        <v>0.15351800574525951</v>
      </c>
      <c r="AB19" s="33">
        <v>7.9228145747671008E-2</v>
      </c>
      <c r="AC19" s="33">
        <v>2.8625373076151372E-2</v>
      </c>
      <c r="AD19" s="32"/>
      <c r="AE19" s="29">
        <f t="shared" si="0"/>
        <v>38639.595770080115</v>
      </c>
      <c r="AF19" s="29">
        <f t="shared" si="1"/>
        <v>29844.732594815116</v>
      </c>
      <c r="AG19" s="29">
        <f t="shared" si="2"/>
        <v>16363.039274174842</v>
      </c>
      <c r="AH19" s="29">
        <f t="shared" si="3"/>
        <v>12599.132306583453</v>
      </c>
      <c r="AI19" s="29">
        <f t="shared" si="4"/>
        <v>6502.2072546757781</v>
      </c>
      <c r="AJ19" s="29">
        <f t="shared" si="5"/>
        <v>2349.2675074883168</v>
      </c>
    </row>
    <row r="20" spans="1:36" ht="10.5" customHeight="1">
      <c r="A20">
        <f t="shared" si="6"/>
        <v>1926</v>
      </c>
      <c r="B20" s="29">
        <v>87874.723504475842</v>
      </c>
      <c r="C20" s="27"/>
      <c r="D20" s="27"/>
      <c r="E20" s="27"/>
      <c r="F20" s="27"/>
      <c r="G20" s="27"/>
      <c r="H20" s="27"/>
      <c r="I20" s="27"/>
      <c r="J20" s="27"/>
      <c r="K20" s="27"/>
      <c r="L20" s="27"/>
      <c r="M20" s="27"/>
      <c r="N20" s="27"/>
      <c r="O20" s="27"/>
      <c r="P20" s="27"/>
      <c r="Q20" s="27"/>
      <c r="R20" s="27"/>
      <c r="S20" s="27"/>
      <c r="T20" s="27"/>
      <c r="U20" s="27"/>
      <c r="V20" s="27"/>
      <c r="X20" s="33">
        <v>0.47439634579602147</v>
      </c>
      <c r="Y20" s="33">
        <v>0.37319220659718844</v>
      </c>
      <c r="Z20" s="33">
        <v>0.21205525515386087</v>
      </c>
      <c r="AA20" s="33">
        <v>0.16468469108637701</v>
      </c>
      <c r="AB20" s="33">
        <v>8.8516696759956784E-2</v>
      </c>
      <c r="AC20" s="33">
        <v>3.3642633010294028E-2</v>
      </c>
      <c r="AD20" s="32"/>
      <c r="AE20" s="29">
        <f t="shared" si="0"/>
        <v>41687.447718359093</v>
      </c>
      <c r="AF20" s="29">
        <f t="shared" si="1"/>
        <v>32794.161968753157</v>
      </c>
      <c r="AG20" s="29">
        <f t="shared" si="2"/>
        <v>18634.296914316601</v>
      </c>
      <c r="AH20" s="29">
        <f t="shared" si="3"/>
        <v>14471.621694635398</v>
      </c>
      <c r="AI20" s="29">
        <f t="shared" si="4"/>
        <v>7778.3802533107346</v>
      </c>
      <c r="AJ20" s="29">
        <f t="shared" si="5"/>
        <v>2956.3370737421396</v>
      </c>
    </row>
    <row r="21" spans="1:36" ht="10.5" customHeight="1">
      <c r="A21">
        <f t="shared" si="6"/>
        <v>1927</v>
      </c>
      <c r="B21" s="29">
        <v>86290.216476027912</v>
      </c>
      <c r="C21" s="27"/>
      <c r="D21" s="27"/>
      <c r="E21" s="27"/>
      <c r="F21" s="27"/>
      <c r="G21" s="27"/>
      <c r="H21" s="27"/>
      <c r="I21" s="27"/>
      <c r="J21" s="27"/>
      <c r="K21" s="27"/>
      <c r="L21" s="27"/>
      <c r="M21" s="27"/>
      <c r="N21" s="27"/>
      <c r="O21" s="27"/>
      <c r="P21" s="27"/>
      <c r="Q21" s="27"/>
      <c r="R21" s="27"/>
      <c r="S21" s="27"/>
      <c r="T21" s="27"/>
      <c r="U21" s="27"/>
      <c r="V21" s="27"/>
      <c r="X21" s="33">
        <v>0.46757747436954505</v>
      </c>
      <c r="Y21" s="33">
        <v>0.36473441279928026</v>
      </c>
      <c r="Z21" s="33">
        <v>0.2031916340570793</v>
      </c>
      <c r="AA21" s="33">
        <v>0.15658098773048121</v>
      </c>
      <c r="AB21" s="33">
        <v>8.2706324120273567E-2</v>
      </c>
      <c r="AC21" s="33">
        <v>3.1129798088186892E-2</v>
      </c>
      <c r="AD21" s="32"/>
      <c r="AE21" s="29">
        <f t="shared" si="0"/>
        <v>40347.361482662433</v>
      </c>
      <c r="AF21" s="29">
        <f t="shared" si="1"/>
        <v>31473.01143670682</v>
      </c>
      <c r="AG21" s="29">
        <f t="shared" si="2"/>
        <v>17533.450088903217</v>
      </c>
      <c r="AH21" s="29">
        <f t="shared" si="3"/>
        <v>13511.407327293495</v>
      </c>
      <c r="AI21" s="29">
        <f t="shared" si="4"/>
        <v>7136.7466122749347</v>
      </c>
      <c r="AJ21" s="29">
        <f t="shared" si="5"/>
        <v>2686.1970158846866</v>
      </c>
    </row>
    <row r="22" spans="1:36" ht="10.5" customHeight="1">
      <c r="A22">
        <f t="shared" si="6"/>
        <v>1928</v>
      </c>
      <c r="B22" s="29">
        <v>88042.972199883399</v>
      </c>
      <c r="C22" s="27"/>
      <c r="D22" s="27"/>
      <c r="E22" s="27"/>
      <c r="F22" s="27"/>
      <c r="G22" s="27"/>
      <c r="H22" s="27"/>
      <c r="I22" s="27"/>
      <c r="J22" s="27"/>
      <c r="K22" s="27"/>
      <c r="L22" s="27"/>
      <c r="M22" s="27"/>
      <c r="N22" s="27"/>
      <c r="O22" s="27"/>
      <c r="P22" s="27"/>
      <c r="Q22" s="27"/>
      <c r="R22" s="27"/>
      <c r="S22" s="27"/>
      <c r="T22" s="27"/>
      <c r="U22" s="27"/>
      <c r="V22" s="27"/>
      <c r="X22" s="33">
        <v>0.47955637664671302</v>
      </c>
      <c r="Y22" s="33">
        <v>0.37485354745777999</v>
      </c>
      <c r="Z22" s="33">
        <v>0.21379998018661062</v>
      </c>
      <c r="AA22" s="33">
        <v>0.16670432716510228</v>
      </c>
      <c r="AB22" s="33">
        <v>9.2322652852418793E-2</v>
      </c>
      <c r="AC22" s="33">
        <v>3.7617004363102613E-2</v>
      </c>
      <c r="AD22" s="32"/>
      <c r="AE22" s="29">
        <f t="shared" si="0"/>
        <v>42221.568737383364</v>
      </c>
      <c r="AF22" s="29">
        <f t="shared" si="1"/>
        <v>33003.220457852993</v>
      </c>
      <c r="AG22" s="29">
        <f t="shared" si="2"/>
        <v>18823.58571190538</v>
      </c>
      <c r="AH22" s="29">
        <f t="shared" si="3"/>
        <v>14677.144442197367</v>
      </c>
      <c r="AI22" s="29">
        <f t="shared" si="4"/>
        <v>8128.360758504994</v>
      </c>
      <c r="AJ22" s="29">
        <f t="shared" si="5"/>
        <v>3311.912869383536</v>
      </c>
    </row>
    <row r="23" spans="1:36" ht="10.5" customHeight="1">
      <c r="A23">
        <f t="shared" si="6"/>
        <v>1929</v>
      </c>
      <c r="B23" s="29">
        <v>94200</v>
      </c>
      <c r="C23" s="27"/>
      <c r="D23" s="27"/>
      <c r="E23" s="27"/>
      <c r="F23" s="27"/>
      <c r="G23" s="27"/>
      <c r="H23" s="27"/>
      <c r="I23" s="27"/>
      <c r="J23" s="27"/>
      <c r="K23" s="27"/>
      <c r="L23" s="27"/>
      <c r="M23" s="27"/>
      <c r="N23" s="27"/>
      <c r="O23" s="27"/>
      <c r="P23" s="27"/>
      <c r="Q23" s="27"/>
      <c r="R23" s="27"/>
      <c r="S23" s="27"/>
      <c r="T23" s="27"/>
      <c r="U23" s="27"/>
      <c r="V23" s="27"/>
      <c r="X23" s="33">
        <v>0.46678193837151438</v>
      </c>
      <c r="Y23" s="33">
        <v>0.36817079425828353</v>
      </c>
      <c r="Z23" s="33">
        <v>0.21154044134302208</v>
      </c>
      <c r="AA23" s="33">
        <v>0.16581352197556315</v>
      </c>
      <c r="AB23" s="33">
        <v>9.4083794036046858E-2</v>
      </c>
      <c r="AC23" s="33">
        <v>4.024454893786529E-2</v>
      </c>
      <c r="AD23" s="32"/>
      <c r="AE23" s="29">
        <f t="shared" si="0"/>
        <v>43970.858594596655</v>
      </c>
      <c r="AF23" s="29">
        <f t="shared" si="1"/>
        <v>34681.688819130308</v>
      </c>
      <c r="AG23" s="29">
        <f t="shared" si="2"/>
        <v>19927.10957451268</v>
      </c>
      <c r="AH23" s="29">
        <f t="shared" si="3"/>
        <v>15619.633770098049</v>
      </c>
      <c r="AI23" s="29">
        <f t="shared" si="4"/>
        <v>8862.6933981956136</v>
      </c>
      <c r="AJ23" s="29">
        <f t="shared" si="5"/>
        <v>3791.0365099469104</v>
      </c>
    </row>
    <row r="24" spans="1:36" ht="10.5" customHeight="1">
      <c r="A24">
        <f t="shared" si="6"/>
        <v>1930</v>
      </c>
      <c r="B24" s="29">
        <v>83100</v>
      </c>
      <c r="C24" s="27"/>
      <c r="D24" s="27"/>
      <c r="E24" s="27"/>
      <c r="F24" s="27"/>
      <c r="G24" s="27"/>
      <c r="H24" s="27"/>
      <c r="I24" s="27"/>
      <c r="J24" s="27"/>
      <c r="K24" s="27"/>
      <c r="L24" s="27"/>
      <c r="M24" s="27"/>
      <c r="N24" s="27"/>
      <c r="O24" s="27"/>
      <c r="P24" s="27"/>
      <c r="Q24" s="27"/>
      <c r="R24" s="27"/>
      <c r="S24" s="27"/>
      <c r="T24" s="27"/>
      <c r="U24" s="27"/>
      <c r="V24" s="27"/>
      <c r="X24" s="33">
        <v>0.45339777483004967</v>
      </c>
      <c r="Y24" s="33">
        <v>0.34138982990963729</v>
      </c>
      <c r="Z24" s="33">
        <v>0.18076250547360204</v>
      </c>
      <c r="AA24" s="33">
        <v>0.13689982436367984</v>
      </c>
      <c r="AB24" s="33">
        <v>7.0371557788309932E-2</v>
      </c>
      <c r="AC24" s="33">
        <v>2.5700846104190472E-2</v>
      </c>
      <c r="AD24" s="32"/>
      <c r="AE24" s="29">
        <f t="shared" si="0"/>
        <v>37677.355088377124</v>
      </c>
      <c r="AF24" s="29">
        <f t="shared" si="1"/>
        <v>28369.494865490859</v>
      </c>
      <c r="AG24" s="29">
        <f t="shared" si="2"/>
        <v>15021.364204856329</v>
      </c>
      <c r="AH24" s="29">
        <f t="shared" si="3"/>
        <v>11376.375404621795</v>
      </c>
      <c r="AI24" s="29">
        <f t="shared" si="4"/>
        <v>5847.8764522085557</v>
      </c>
      <c r="AJ24" s="29">
        <f t="shared" si="5"/>
        <v>2135.7403112582283</v>
      </c>
    </row>
    <row r="25" spans="1:36" ht="10.5" customHeight="1">
      <c r="A25">
        <f t="shared" si="6"/>
        <v>1931</v>
      </c>
      <c r="B25" s="29">
        <v>67700</v>
      </c>
      <c r="C25" s="27"/>
      <c r="D25" s="27"/>
      <c r="E25" s="27"/>
      <c r="F25" s="27"/>
      <c r="G25" s="27"/>
      <c r="H25" s="27"/>
      <c r="I25" s="27"/>
      <c r="J25" s="27"/>
      <c r="K25" s="27"/>
      <c r="L25" s="27"/>
      <c r="M25" s="27"/>
      <c r="N25" s="27"/>
      <c r="O25" s="27"/>
      <c r="P25" s="27"/>
      <c r="Q25" s="27"/>
      <c r="R25" s="27"/>
      <c r="S25" s="27"/>
      <c r="T25" s="27"/>
      <c r="U25" s="27"/>
      <c r="V25" s="27"/>
      <c r="X25" s="33">
        <v>0.4499384463556873</v>
      </c>
      <c r="Y25" s="33">
        <v>0.31982810438179304</v>
      </c>
      <c r="Z25" s="33">
        <v>0.15016939409743724</v>
      </c>
      <c r="AA25" s="33">
        <v>0.10896020798999519</v>
      </c>
      <c r="AB25" s="33">
        <v>4.9855218761373561E-2</v>
      </c>
      <c r="AC25" s="33">
        <v>1.5425233089296749E-2</v>
      </c>
      <c r="AD25" s="32"/>
      <c r="AE25" s="29">
        <f t="shared" si="0"/>
        <v>30460.832818280029</v>
      </c>
      <c r="AF25" s="29">
        <f t="shared" si="1"/>
        <v>21652.36266664739</v>
      </c>
      <c r="AG25" s="29">
        <f t="shared" si="2"/>
        <v>10166.467980396501</v>
      </c>
      <c r="AH25" s="29">
        <f t="shared" si="3"/>
        <v>7376.6060809226738</v>
      </c>
      <c r="AI25" s="29">
        <f t="shared" si="4"/>
        <v>3375.19831014499</v>
      </c>
      <c r="AJ25" s="29">
        <f t="shared" si="5"/>
        <v>1044.28828014539</v>
      </c>
    </row>
    <row r="26" spans="1:36" ht="10.5" customHeight="1">
      <c r="A26">
        <f t="shared" si="6"/>
        <v>1932</v>
      </c>
      <c r="B26" s="29">
        <v>51300</v>
      </c>
      <c r="C26" s="27"/>
      <c r="D26" s="27"/>
      <c r="E26" s="27"/>
      <c r="F26" s="27"/>
      <c r="G26" s="27"/>
      <c r="H26" s="27"/>
      <c r="I26" s="27"/>
      <c r="J26" s="27"/>
      <c r="K26" s="27"/>
      <c r="L26" s="27"/>
      <c r="M26" s="27"/>
      <c r="N26" s="27"/>
      <c r="O26" s="27"/>
      <c r="P26" s="27"/>
      <c r="Q26" s="27"/>
      <c r="R26" s="27"/>
      <c r="S26" s="27"/>
      <c r="T26" s="27"/>
      <c r="U26" s="27"/>
      <c r="V26" s="27"/>
      <c r="X26" s="33">
        <v>0.46653847475234872</v>
      </c>
      <c r="Y26" s="33">
        <v>0.32959579362630864</v>
      </c>
      <c r="Z26" s="33">
        <v>0.13892008882846621</v>
      </c>
      <c r="AA26" s="33">
        <v>0.101154521458116</v>
      </c>
      <c r="AB26" s="33">
        <v>4.2996240177930044E-2</v>
      </c>
      <c r="AC26" s="33">
        <v>1.0066197309503373E-2</v>
      </c>
      <c r="AD26" s="32"/>
      <c r="AE26" s="29">
        <f t="shared" si="0"/>
        <v>23933.423754795491</v>
      </c>
      <c r="AF26" s="29">
        <f t="shared" si="1"/>
        <v>16908.264213029634</v>
      </c>
      <c r="AG26" s="29">
        <f t="shared" si="2"/>
        <v>7126.6005569003164</v>
      </c>
      <c r="AH26" s="29">
        <f t="shared" si="3"/>
        <v>5189.2269508013505</v>
      </c>
      <c r="AI26" s="29">
        <f t="shared" si="4"/>
        <v>2205.7071211278112</v>
      </c>
      <c r="AJ26" s="29">
        <f t="shared" si="5"/>
        <v>516.39592197752302</v>
      </c>
    </row>
    <row r="27" spans="1:36" ht="10.5" customHeight="1">
      <c r="A27">
        <f t="shared" si="6"/>
        <v>1933</v>
      </c>
      <c r="B27" s="29">
        <v>49000</v>
      </c>
      <c r="C27" s="27"/>
      <c r="D27" s="27"/>
      <c r="E27" s="27"/>
      <c r="F27" s="27"/>
      <c r="G27" s="27"/>
      <c r="H27" s="27"/>
      <c r="I27" s="27"/>
      <c r="J27" s="27"/>
      <c r="K27" s="27"/>
      <c r="L27" s="27"/>
      <c r="M27" s="27"/>
      <c r="N27" s="27"/>
      <c r="O27" s="27"/>
      <c r="P27" s="27"/>
      <c r="Q27" s="27"/>
      <c r="R27" s="27"/>
      <c r="S27" s="27"/>
      <c r="T27" s="27"/>
      <c r="U27" s="27"/>
      <c r="V27" s="27"/>
      <c r="X27" s="33">
        <v>0.46871482384254903</v>
      </c>
      <c r="Y27" s="33">
        <v>0.34306243736156616</v>
      </c>
      <c r="Z27" s="33">
        <v>0.15137412752946705</v>
      </c>
      <c r="AA27" s="33">
        <v>0.11085846302290261</v>
      </c>
      <c r="AB27" s="33">
        <v>4.9265006651981372E-2</v>
      </c>
      <c r="AC27" s="33">
        <v>1.2969856408951692E-2</v>
      </c>
      <c r="AD27" s="32"/>
      <c r="AE27" s="29">
        <f t="shared" si="0"/>
        <v>22967.026368284904</v>
      </c>
      <c r="AF27" s="29">
        <f t="shared" si="1"/>
        <v>16810.059430716741</v>
      </c>
      <c r="AG27" s="29">
        <f t="shared" si="2"/>
        <v>7417.3322489438851</v>
      </c>
      <c r="AH27" s="29">
        <f t="shared" si="3"/>
        <v>5432.0646881222283</v>
      </c>
      <c r="AI27" s="29">
        <f t="shared" si="4"/>
        <v>2413.9853259470874</v>
      </c>
      <c r="AJ27" s="29">
        <f t="shared" si="5"/>
        <v>635.52296403863295</v>
      </c>
    </row>
    <row r="28" spans="1:36" ht="10.5" customHeight="1">
      <c r="A28">
        <f t="shared" si="6"/>
        <v>1934</v>
      </c>
      <c r="B28" s="29">
        <v>58300</v>
      </c>
      <c r="C28" s="27"/>
      <c r="D28" s="27"/>
      <c r="E28" s="27"/>
      <c r="F28" s="27"/>
      <c r="G28" s="27"/>
      <c r="H28" s="27"/>
      <c r="I28" s="27"/>
      <c r="J28" s="27"/>
      <c r="K28" s="27"/>
      <c r="L28" s="27"/>
      <c r="M28" s="27"/>
      <c r="N28" s="27"/>
      <c r="O28" s="27"/>
      <c r="P28" s="27"/>
      <c r="Q28" s="27"/>
      <c r="R28" s="27"/>
      <c r="S28" s="27"/>
      <c r="T28" s="27"/>
      <c r="U28" s="27"/>
      <c r="V28" s="27"/>
      <c r="X28" s="33">
        <v>0.48024255803838334</v>
      </c>
      <c r="Y28" s="33">
        <v>0.36539966557908365</v>
      </c>
      <c r="Z28" s="33">
        <v>0.17136096403875065</v>
      </c>
      <c r="AA28" s="33">
        <v>0.12973652079354217</v>
      </c>
      <c r="AB28" s="33">
        <v>6.001727282396805E-2</v>
      </c>
      <c r="AC28" s="33">
        <v>1.6874690090800684E-2</v>
      </c>
      <c r="AD28" s="32"/>
      <c r="AE28" s="29">
        <f t="shared" si="0"/>
        <v>27998.14113363775</v>
      </c>
      <c r="AF28" s="29">
        <f t="shared" si="1"/>
        <v>21302.800503260576</v>
      </c>
      <c r="AG28" s="29">
        <f t="shared" si="2"/>
        <v>9990.3442034591626</v>
      </c>
      <c r="AH28" s="29">
        <f t="shared" si="3"/>
        <v>7563.6391622635083</v>
      </c>
      <c r="AI28" s="29">
        <f t="shared" si="4"/>
        <v>3499.0070056373374</v>
      </c>
      <c r="AJ28" s="29">
        <f t="shared" si="5"/>
        <v>983.79443229367985</v>
      </c>
    </row>
    <row r="29" spans="1:36" ht="10.5" customHeight="1">
      <c r="A29">
        <f t="shared" si="6"/>
        <v>1935</v>
      </c>
      <c r="B29" s="29">
        <v>66400</v>
      </c>
      <c r="C29" s="27"/>
      <c r="D29" s="27"/>
      <c r="E29" s="27"/>
      <c r="F29" s="27"/>
      <c r="G29" s="27"/>
      <c r="H29" s="27"/>
      <c r="I29" s="27"/>
      <c r="J29" s="27"/>
      <c r="K29" s="27"/>
      <c r="L29" s="27"/>
      <c r="M29" s="27"/>
      <c r="N29" s="27"/>
      <c r="O29" s="27"/>
      <c r="P29" s="27"/>
      <c r="Q29" s="27"/>
      <c r="R29" s="27"/>
      <c r="S29" s="27"/>
      <c r="T29" s="27"/>
      <c r="U29" s="27"/>
      <c r="V29" s="27"/>
      <c r="X29" s="33">
        <v>0.47058457571142304</v>
      </c>
      <c r="Y29" s="33">
        <v>0.3510800790230722</v>
      </c>
      <c r="Z29" s="33">
        <v>0.17348208245983937</v>
      </c>
      <c r="AA29" s="33">
        <v>0.13206491805494103</v>
      </c>
      <c r="AB29" s="33">
        <v>6.3025259857610927E-2</v>
      </c>
      <c r="AC29" s="33">
        <v>1.8948236750539707E-2</v>
      </c>
      <c r="AD29" s="32"/>
      <c r="AE29" s="29">
        <f t="shared" si="0"/>
        <v>31246.81582723849</v>
      </c>
      <c r="AF29" s="29">
        <f t="shared" si="1"/>
        <v>23311.717247131994</v>
      </c>
      <c r="AG29" s="29">
        <f t="shared" si="2"/>
        <v>11519.210275333335</v>
      </c>
      <c r="AH29" s="29">
        <f t="shared" si="3"/>
        <v>8769.1105588480841</v>
      </c>
      <c r="AI29" s="29">
        <f t="shared" si="4"/>
        <v>4184.8772545453658</v>
      </c>
      <c r="AJ29" s="29">
        <f t="shared" si="5"/>
        <v>1258.1629202358365</v>
      </c>
    </row>
    <row r="30" spans="1:36" ht="10.5" customHeight="1">
      <c r="A30">
        <f t="shared" si="6"/>
        <v>1936</v>
      </c>
      <c r="B30" s="29">
        <v>75200</v>
      </c>
      <c r="C30" s="27"/>
      <c r="D30" s="27"/>
      <c r="E30" s="27"/>
      <c r="F30" s="27"/>
      <c r="G30" s="27"/>
      <c r="H30" s="27"/>
      <c r="I30" s="27"/>
      <c r="J30" s="27"/>
      <c r="K30" s="27"/>
      <c r="L30" s="27"/>
      <c r="M30" s="27"/>
      <c r="N30" s="27"/>
      <c r="O30" s="27"/>
      <c r="P30" s="27"/>
      <c r="Q30" s="27"/>
      <c r="R30" s="27"/>
      <c r="S30" s="27"/>
      <c r="T30" s="27"/>
      <c r="U30" s="27"/>
      <c r="V30" s="27"/>
      <c r="X30" s="33">
        <v>0.47735630697632409</v>
      </c>
      <c r="Y30" s="33">
        <v>0.35987503055044612</v>
      </c>
      <c r="Z30" s="33">
        <v>0.19231779865288465</v>
      </c>
      <c r="AA30" s="33">
        <v>0.14832080563106675</v>
      </c>
      <c r="AB30" s="33">
        <v>7.1894129875338691E-2</v>
      </c>
      <c r="AC30" s="33">
        <v>2.2024110739010422E-2</v>
      </c>
      <c r="AD30" s="32"/>
      <c r="AE30" s="29">
        <f t="shared" si="0"/>
        <v>35897.194284619574</v>
      </c>
      <c r="AF30" s="29">
        <f t="shared" si="1"/>
        <v>27062.602297393547</v>
      </c>
      <c r="AG30" s="29">
        <f t="shared" si="2"/>
        <v>14462.298458696925</v>
      </c>
      <c r="AH30" s="29">
        <f t="shared" si="3"/>
        <v>11153.72458345622</v>
      </c>
      <c r="AI30" s="29">
        <f t="shared" si="4"/>
        <v>5406.4385666254693</v>
      </c>
      <c r="AJ30" s="29">
        <f t="shared" si="5"/>
        <v>1656.2131275735837</v>
      </c>
    </row>
    <row r="31" spans="1:36" ht="10.5" customHeight="1">
      <c r="A31">
        <f t="shared" si="6"/>
        <v>1937</v>
      </c>
      <c r="B31" s="29">
        <v>83700</v>
      </c>
      <c r="C31" s="27"/>
      <c r="D31" s="27"/>
      <c r="E31" s="27"/>
      <c r="F31" s="27"/>
      <c r="G31" s="27"/>
      <c r="H31" s="27"/>
      <c r="I31" s="27"/>
      <c r="J31" s="27"/>
      <c r="K31" s="27"/>
      <c r="L31" s="27"/>
      <c r="M31" s="27"/>
      <c r="N31" s="27"/>
      <c r="O31" s="27"/>
      <c r="P31" s="27"/>
      <c r="Q31" s="27"/>
      <c r="R31" s="27"/>
      <c r="S31" s="27"/>
      <c r="T31" s="27"/>
      <c r="U31" s="27"/>
      <c r="V31" s="27"/>
      <c r="X31" s="33">
        <v>0.46513405920977663</v>
      </c>
      <c r="Y31" s="33">
        <v>0.34984437961121145</v>
      </c>
      <c r="Z31" s="33">
        <v>0.19032524491586911</v>
      </c>
      <c r="AA31" s="33">
        <v>0.14483372721048804</v>
      </c>
      <c r="AB31" s="33">
        <v>7.0170399373649439E-2</v>
      </c>
      <c r="AC31" s="33">
        <v>2.180519174332117E-2</v>
      </c>
      <c r="AD31" s="32"/>
      <c r="AE31" s="29">
        <f t="shared" si="0"/>
        <v>38931.720755858303</v>
      </c>
      <c r="AF31" s="29">
        <f t="shared" si="1"/>
        <v>29281.974573458399</v>
      </c>
      <c r="AG31" s="29">
        <f t="shared" si="2"/>
        <v>15930.222999458245</v>
      </c>
      <c r="AH31" s="29">
        <f t="shared" si="3"/>
        <v>12122.582967517848</v>
      </c>
      <c r="AI31" s="29">
        <f t="shared" si="4"/>
        <v>5873.2624275744583</v>
      </c>
      <c r="AJ31" s="29">
        <f t="shared" si="5"/>
        <v>1825.0945489159819</v>
      </c>
    </row>
    <row r="32" spans="1:36" ht="10.5" customHeight="1">
      <c r="A32">
        <f t="shared" si="6"/>
        <v>1938</v>
      </c>
      <c r="B32" s="29">
        <v>77100</v>
      </c>
      <c r="C32" s="27"/>
      <c r="D32" s="27"/>
      <c r="E32" s="27"/>
      <c r="F32" s="27"/>
      <c r="G32" s="27"/>
      <c r="H32" s="27"/>
      <c r="I32" s="27"/>
      <c r="J32" s="27"/>
      <c r="K32" s="27"/>
      <c r="L32" s="27"/>
      <c r="M32" s="27"/>
      <c r="N32" s="27"/>
      <c r="O32" s="27"/>
      <c r="P32" s="27"/>
      <c r="Q32" s="27"/>
      <c r="R32" s="27"/>
      <c r="S32" s="27"/>
      <c r="T32" s="27"/>
      <c r="U32" s="27"/>
      <c r="V32" s="27"/>
      <c r="X32" s="33">
        <v>0.46457432295742129</v>
      </c>
      <c r="Y32" s="33">
        <v>0.33743393636994817</v>
      </c>
      <c r="Z32" s="33">
        <v>0.17182456625559797</v>
      </c>
      <c r="AA32" s="33">
        <v>0.12773279752583558</v>
      </c>
      <c r="AB32" s="33">
        <v>6.0009716066586311E-2</v>
      </c>
      <c r="AC32" s="33">
        <v>1.9446860499495219E-2</v>
      </c>
      <c r="AD32" s="32"/>
      <c r="AE32" s="29">
        <f t="shared" si="0"/>
        <v>35818.680300017179</v>
      </c>
      <c r="AF32" s="29">
        <f t="shared" si="1"/>
        <v>26016.156494123003</v>
      </c>
      <c r="AG32" s="29">
        <f t="shared" si="2"/>
        <v>13247.674058306604</v>
      </c>
      <c r="AH32" s="29">
        <f t="shared" si="3"/>
        <v>9848.1986892419227</v>
      </c>
      <c r="AI32" s="29">
        <f t="shared" si="4"/>
        <v>4626.7491087338049</v>
      </c>
      <c r="AJ32" s="29">
        <f t="shared" si="5"/>
        <v>1499.3529445110814</v>
      </c>
    </row>
    <row r="33" spans="1:36" ht="10.5" customHeight="1">
      <c r="A33">
        <f t="shared" si="6"/>
        <v>1939</v>
      </c>
      <c r="B33" s="29">
        <v>82500</v>
      </c>
      <c r="C33" s="27"/>
      <c r="D33" s="27"/>
      <c r="E33" s="27"/>
      <c r="F33" s="27"/>
      <c r="G33" s="27"/>
      <c r="H33" s="27"/>
      <c r="I33" s="27"/>
      <c r="J33" s="27"/>
      <c r="K33" s="27"/>
      <c r="L33" s="27"/>
      <c r="M33" s="27"/>
      <c r="N33" s="27"/>
      <c r="O33" s="27"/>
      <c r="P33" s="27"/>
      <c r="Q33" s="27"/>
      <c r="R33" s="27"/>
      <c r="S33" s="27"/>
      <c r="T33" s="27"/>
      <c r="U33" s="27"/>
      <c r="V33" s="27"/>
      <c r="X33" s="33">
        <v>0.47860400357363148</v>
      </c>
      <c r="Y33" s="33">
        <v>0.35306293232610381</v>
      </c>
      <c r="Z33" s="33">
        <v>0.18471242591121886</v>
      </c>
      <c r="AA33" s="33">
        <v>0.13830699605421479</v>
      </c>
      <c r="AB33" s="33">
        <v>6.548886126042136E-2</v>
      </c>
      <c r="AC33" s="33">
        <v>2.0108386087467442E-2</v>
      </c>
      <c r="AD33" s="32"/>
      <c r="AE33" s="29">
        <f t="shared" si="0"/>
        <v>39484.830294824598</v>
      </c>
      <c r="AF33" s="29">
        <f t="shared" si="1"/>
        <v>29127.691916903565</v>
      </c>
      <c r="AG33" s="29">
        <f t="shared" si="2"/>
        <v>15238.775137675557</v>
      </c>
      <c r="AH33" s="29">
        <f t="shared" si="3"/>
        <v>11410.327174472721</v>
      </c>
      <c r="AI33" s="29">
        <f t="shared" si="4"/>
        <v>5402.8310539847625</v>
      </c>
      <c r="AJ33" s="29">
        <f t="shared" si="5"/>
        <v>1658.941852216064</v>
      </c>
    </row>
    <row r="34" spans="1:36" ht="10.5" customHeight="1">
      <c r="A34">
        <f t="shared" si="6"/>
        <v>1940</v>
      </c>
      <c r="B34" s="29">
        <v>91600</v>
      </c>
      <c r="C34" s="27"/>
      <c r="D34" s="27"/>
      <c r="E34" s="27"/>
      <c r="F34" s="27"/>
      <c r="G34" s="27"/>
      <c r="H34" s="27"/>
      <c r="I34" s="27"/>
      <c r="J34" s="27"/>
      <c r="K34" s="27"/>
      <c r="L34" s="27"/>
      <c r="M34" s="27"/>
      <c r="N34" s="27"/>
      <c r="O34" s="27"/>
      <c r="P34" s="27"/>
      <c r="Q34" s="27"/>
      <c r="R34" s="27"/>
      <c r="S34" s="27"/>
      <c r="T34" s="27"/>
      <c r="U34" s="27"/>
      <c r="V34" s="27"/>
      <c r="X34" s="33">
        <v>0.47717117789525065</v>
      </c>
      <c r="Y34" s="33">
        <v>0.35665703371705082</v>
      </c>
      <c r="Z34" s="33">
        <v>0.19294026538087136</v>
      </c>
      <c r="AA34" s="33">
        <v>0.14646973189017842</v>
      </c>
      <c r="AB34" s="33">
        <v>7.2117323376853726E-2</v>
      </c>
      <c r="AC34" s="33">
        <v>2.4073493841080457E-2</v>
      </c>
      <c r="AD34" s="32"/>
      <c r="AE34" s="29">
        <f t="shared" si="0"/>
        <v>43708.879895204962</v>
      </c>
      <c r="AF34" s="29">
        <f t="shared" si="1"/>
        <v>32669.784288481856</v>
      </c>
      <c r="AG34" s="29">
        <f t="shared" si="2"/>
        <v>17673.328308887816</v>
      </c>
      <c r="AH34" s="29">
        <f t="shared" si="3"/>
        <v>13416.627441140343</v>
      </c>
      <c r="AI34" s="29">
        <f t="shared" si="4"/>
        <v>6605.9468213198015</v>
      </c>
      <c r="AJ34" s="29">
        <f t="shared" si="5"/>
        <v>2205.1320358429698</v>
      </c>
    </row>
    <row r="35" spans="1:36" ht="10.5" customHeight="1">
      <c r="A35">
        <f t="shared" si="6"/>
        <v>1941</v>
      </c>
      <c r="B35" s="29">
        <v>117400</v>
      </c>
      <c r="C35" s="27"/>
      <c r="D35" s="27"/>
      <c r="E35" s="27"/>
      <c r="F35" s="27"/>
      <c r="G35" s="27"/>
      <c r="H35" s="27"/>
      <c r="I35" s="27"/>
      <c r="J35" s="27"/>
      <c r="K35" s="27"/>
      <c r="L35" s="27"/>
      <c r="M35" s="27"/>
      <c r="N35" s="27"/>
      <c r="O35" s="27"/>
      <c r="P35" s="27"/>
      <c r="Q35" s="27"/>
      <c r="R35" s="27"/>
      <c r="S35" s="27"/>
      <c r="T35" s="27"/>
      <c r="U35" s="27"/>
      <c r="V35" s="27"/>
      <c r="X35" s="33">
        <v>0.45766670952455596</v>
      </c>
      <c r="Y35" s="33">
        <v>0.34807207548482422</v>
      </c>
      <c r="Z35" s="33">
        <v>0.19473754834003998</v>
      </c>
      <c r="AA35" s="33">
        <v>0.14806987547220107</v>
      </c>
      <c r="AB35" s="33">
        <v>7.3450102342013518E-2</v>
      </c>
      <c r="AC35" s="33">
        <v>2.469670386087092E-2</v>
      </c>
      <c r="AD35" s="32"/>
      <c r="AE35" s="29">
        <f t="shared" si="0"/>
        <v>53730.071698182866</v>
      </c>
      <c r="AF35" s="29">
        <f t="shared" si="1"/>
        <v>40863.661661918362</v>
      </c>
      <c r="AG35" s="29">
        <f t="shared" si="2"/>
        <v>22862.188175120693</v>
      </c>
      <c r="AH35" s="29">
        <f t="shared" si="3"/>
        <v>17383.403380436404</v>
      </c>
      <c r="AI35" s="29">
        <f t="shared" si="4"/>
        <v>8623.042014952387</v>
      </c>
      <c r="AJ35" s="29">
        <f t="shared" si="5"/>
        <v>2899.3930332662462</v>
      </c>
    </row>
    <row r="36" spans="1:36" ht="10.5" customHeight="1">
      <c r="A36">
        <f t="shared" si="6"/>
        <v>1942</v>
      </c>
      <c r="B36" s="29">
        <v>152400</v>
      </c>
      <c r="C36" s="27"/>
      <c r="D36" s="27"/>
      <c r="E36" s="27"/>
      <c r="F36" s="27"/>
      <c r="G36" s="27"/>
      <c r="H36" s="27"/>
      <c r="I36" s="27"/>
      <c r="J36" s="27"/>
      <c r="K36" s="27"/>
      <c r="L36" s="27"/>
      <c r="M36" s="27"/>
      <c r="N36" s="27"/>
      <c r="O36" s="27"/>
      <c r="P36" s="27"/>
      <c r="Q36" s="27"/>
      <c r="R36" s="27"/>
      <c r="S36" s="27"/>
      <c r="T36" s="27"/>
      <c r="U36" s="27"/>
      <c r="V36" s="27"/>
      <c r="X36" s="33">
        <v>0.41043974288048451</v>
      </c>
      <c r="Y36" s="33">
        <v>0.31796406020780899</v>
      </c>
      <c r="Z36" s="33">
        <v>0.18482374168230195</v>
      </c>
      <c r="AA36" s="33">
        <v>0.14245076999790196</v>
      </c>
      <c r="AB36" s="33">
        <v>7.1495634775623554E-2</v>
      </c>
      <c r="AC36" s="33">
        <v>2.362432797806609E-2</v>
      </c>
      <c r="AD36" s="32"/>
      <c r="AE36" s="29">
        <f t="shared" si="0"/>
        <v>62551.016814985844</v>
      </c>
      <c r="AF36" s="29">
        <f t="shared" si="1"/>
        <v>48457.722775670089</v>
      </c>
      <c r="AG36" s="29">
        <f t="shared" si="2"/>
        <v>28167.138232382818</v>
      </c>
      <c r="AH36" s="29">
        <f t="shared" si="3"/>
        <v>21709.497347680259</v>
      </c>
      <c r="AI36" s="29">
        <f t="shared" si="4"/>
        <v>10895.93473980503</v>
      </c>
      <c r="AJ36" s="29">
        <f t="shared" si="5"/>
        <v>3600.3475838572722</v>
      </c>
    </row>
    <row r="37" spans="1:36" ht="10.5" customHeight="1">
      <c r="A37">
        <f t="shared" si="6"/>
        <v>1943</v>
      </c>
      <c r="B37" s="29">
        <v>187300</v>
      </c>
      <c r="C37" s="27"/>
      <c r="D37" s="27"/>
      <c r="E37" s="27"/>
      <c r="F37" s="27"/>
      <c r="G37" s="27"/>
      <c r="H37" s="27"/>
      <c r="I37" s="27"/>
      <c r="J37" s="27"/>
      <c r="K37" s="27"/>
      <c r="L37" s="27"/>
      <c r="M37" s="27"/>
      <c r="N37" s="27"/>
      <c r="O37" s="27"/>
      <c r="P37" s="27"/>
      <c r="Q37" s="27"/>
      <c r="R37" s="27"/>
      <c r="S37" s="27"/>
      <c r="T37" s="27"/>
      <c r="U37" s="27"/>
      <c r="V37" s="27"/>
      <c r="X37" s="33">
        <v>0.38037801869180937</v>
      </c>
      <c r="Y37" s="33">
        <v>0.29704465256534407</v>
      </c>
      <c r="Z37" s="33">
        <v>0.17173105364639862</v>
      </c>
      <c r="AA37" s="33">
        <v>0.13076138628152514</v>
      </c>
      <c r="AB37" s="33">
        <v>6.3700274289294506E-2</v>
      </c>
      <c r="AC37" s="33">
        <v>1.8999217546594394E-2</v>
      </c>
      <c r="AD37" s="32"/>
      <c r="AE37" s="29">
        <f t="shared" si="0"/>
        <v>71244.80290097589</v>
      </c>
      <c r="AF37" s="29">
        <f t="shared" si="1"/>
        <v>55636.463425488946</v>
      </c>
      <c r="AG37" s="29">
        <f t="shared" si="2"/>
        <v>32165.226347970463</v>
      </c>
      <c r="AH37" s="29">
        <f t="shared" si="3"/>
        <v>24491.607650529659</v>
      </c>
      <c r="AI37" s="29">
        <f t="shared" si="4"/>
        <v>11931.061374384861</v>
      </c>
      <c r="AJ37" s="29">
        <f t="shared" si="5"/>
        <v>3558.5534464771299</v>
      </c>
    </row>
    <row r="38" spans="1:36" ht="10.5" customHeight="1">
      <c r="A38">
        <f t="shared" si="6"/>
        <v>1944</v>
      </c>
      <c r="B38" s="29">
        <v>201000</v>
      </c>
      <c r="C38" s="27"/>
      <c r="D38" s="27"/>
      <c r="E38" s="27"/>
      <c r="F38" s="27"/>
      <c r="G38" s="27"/>
      <c r="H38" s="27"/>
      <c r="I38" s="27"/>
      <c r="J38" s="27"/>
      <c r="K38" s="27"/>
      <c r="L38" s="27"/>
      <c r="M38" s="27"/>
      <c r="N38" s="27"/>
      <c r="O38" s="27"/>
      <c r="P38" s="27"/>
      <c r="Q38" s="27"/>
      <c r="R38" s="27"/>
      <c r="S38" s="27"/>
      <c r="T38" s="27"/>
      <c r="U38" s="27"/>
      <c r="V38" s="27"/>
      <c r="X38" s="33">
        <v>0.36179454510886572</v>
      </c>
      <c r="Y38" s="33">
        <v>0.27132136094163545</v>
      </c>
      <c r="Z38" s="33">
        <v>0.14828274041418896</v>
      </c>
      <c r="AA38" s="33">
        <v>0.11132852734941213</v>
      </c>
      <c r="AB38" s="33">
        <v>5.3733144764204786E-2</v>
      </c>
      <c r="AC38" s="33">
        <v>1.7828074740721261E-2</v>
      </c>
      <c r="AD38" s="32"/>
      <c r="AE38" s="29">
        <f t="shared" si="0"/>
        <v>72720.703566882003</v>
      </c>
      <c r="AF38" s="29">
        <f t="shared" si="1"/>
        <v>54535.593549268728</v>
      </c>
      <c r="AG38" s="29">
        <f t="shared" si="2"/>
        <v>29804.830823251981</v>
      </c>
      <c r="AH38" s="29">
        <f t="shared" si="3"/>
        <v>22377.03399723184</v>
      </c>
      <c r="AI38" s="29">
        <f t="shared" si="4"/>
        <v>10800.362097605162</v>
      </c>
      <c r="AJ38" s="29">
        <f t="shared" si="5"/>
        <v>3583.4430228849737</v>
      </c>
    </row>
    <row r="39" spans="1:36" ht="10.5" customHeight="1">
      <c r="A39">
        <f t="shared" si="6"/>
        <v>1945</v>
      </c>
      <c r="B39" s="29">
        <v>201400</v>
      </c>
      <c r="C39" s="27"/>
      <c r="D39" s="27"/>
      <c r="E39" s="27"/>
      <c r="F39" s="27"/>
      <c r="G39" s="27"/>
      <c r="H39" s="27"/>
      <c r="I39" s="27"/>
      <c r="J39" s="27"/>
      <c r="K39" s="27"/>
      <c r="L39" s="27"/>
      <c r="M39" s="27"/>
      <c r="N39" s="27"/>
      <c r="O39" s="27"/>
      <c r="P39" s="27"/>
      <c r="Q39" s="27"/>
      <c r="R39" s="27"/>
      <c r="S39" s="27"/>
      <c r="T39" s="27"/>
      <c r="U39" s="27"/>
      <c r="V39" s="27"/>
      <c r="X39" s="33">
        <v>0.35805311859913869</v>
      </c>
      <c r="Y39" s="33">
        <v>0.26929533036350911</v>
      </c>
      <c r="Z39" s="33">
        <v>0.14272327995552617</v>
      </c>
      <c r="AA39" s="33">
        <v>0.10475026242927792</v>
      </c>
      <c r="AB39" s="33">
        <v>4.812411874793051E-2</v>
      </c>
      <c r="AC39" s="33">
        <v>1.44468248665756E-2</v>
      </c>
      <c r="AD39" s="32"/>
      <c r="AE39" s="29">
        <f t="shared" ref="AE39:AE70" si="7">X39*$B39</f>
        <v>72111.898085866531</v>
      </c>
      <c r="AF39" s="29">
        <f t="shared" ref="AF39:AF70" si="8">Y39*$B39</f>
        <v>54236.079535210738</v>
      </c>
      <c r="AG39" s="29">
        <f t="shared" ref="AG39:AG70" si="9">Z39*$B39</f>
        <v>28744.46858304297</v>
      </c>
      <c r="AH39" s="29">
        <f t="shared" ref="AH39:AH70" si="10">AA39*$B39</f>
        <v>21096.702853256571</v>
      </c>
      <c r="AI39" s="29">
        <f t="shared" ref="AI39:AI70" si="11">AB39*$B39</f>
        <v>9692.1975158332043</v>
      </c>
      <c r="AJ39" s="29">
        <f t="shared" ref="AJ39:AJ70" si="12">AC39*$B39</f>
        <v>2909.5905281283258</v>
      </c>
    </row>
    <row r="40" spans="1:36" ht="10.5" customHeight="1">
      <c r="A40">
        <f t="shared" si="6"/>
        <v>1946</v>
      </c>
      <c r="B40" s="29">
        <v>201500</v>
      </c>
      <c r="C40" s="27"/>
      <c r="D40" s="27"/>
      <c r="E40" s="27"/>
      <c r="F40" s="27"/>
      <c r="G40" s="27"/>
      <c r="H40" s="27"/>
      <c r="I40" s="27"/>
      <c r="J40" s="27"/>
      <c r="K40" s="27"/>
      <c r="L40" s="27"/>
      <c r="M40" s="27"/>
      <c r="N40" s="27"/>
      <c r="O40" s="27"/>
      <c r="P40" s="27"/>
      <c r="Q40" s="27"/>
      <c r="R40" s="27"/>
      <c r="S40" s="27"/>
      <c r="T40" s="27"/>
      <c r="U40" s="27"/>
      <c r="V40" s="27"/>
      <c r="X40" s="33">
        <v>0.37187216577514182</v>
      </c>
      <c r="Y40" s="33">
        <v>0.28152326786226228</v>
      </c>
      <c r="Z40" s="33">
        <v>0.14148625491660372</v>
      </c>
      <c r="AA40" s="33">
        <v>0.10173398765023491</v>
      </c>
      <c r="AB40" s="33">
        <v>4.4996144698794177E-2</v>
      </c>
      <c r="AC40" s="33">
        <v>1.4054535730934818E-2</v>
      </c>
      <c r="AD40" s="32"/>
      <c r="AE40" s="29">
        <f t="shared" si="7"/>
        <v>74932.241403691078</v>
      </c>
      <c r="AF40" s="29">
        <f t="shared" si="8"/>
        <v>56726.93847424585</v>
      </c>
      <c r="AG40" s="29">
        <f t="shared" si="9"/>
        <v>28509.48036569565</v>
      </c>
      <c r="AH40" s="29">
        <f t="shared" si="10"/>
        <v>20499.398511522333</v>
      </c>
      <c r="AI40" s="29">
        <f t="shared" si="11"/>
        <v>9066.7231568070274</v>
      </c>
      <c r="AJ40" s="29">
        <f t="shared" si="12"/>
        <v>2831.9889497833656</v>
      </c>
    </row>
    <row r="41" spans="1:36" ht="10.5" customHeight="1">
      <c r="A41">
        <f t="shared" si="6"/>
        <v>1947</v>
      </c>
      <c r="B41" s="29">
        <v>219000</v>
      </c>
      <c r="C41" s="27"/>
      <c r="D41" s="27"/>
      <c r="E41" s="27"/>
      <c r="F41" s="27"/>
      <c r="G41" s="27"/>
      <c r="H41" s="27"/>
      <c r="I41" s="27"/>
      <c r="J41" s="27"/>
      <c r="K41" s="27"/>
      <c r="L41" s="27"/>
      <c r="M41" s="27"/>
      <c r="N41" s="27"/>
      <c r="O41" s="27"/>
      <c r="P41" s="27"/>
      <c r="Q41" s="27"/>
      <c r="R41" s="27"/>
      <c r="S41" s="27"/>
      <c r="T41" s="27"/>
      <c r="U41" s="27"/>
      <c r="V41" s="27"/>
      <c r="X41" s="33">
        <v>0.3705698414983094</v>
      </c>
      <c r="Y41" s="33">
        <v>0.28315313334943615</v>
      </c>
      <c r="Z41" s="33">
        <v>0.14565393382372568</v>
      </c>
      <c r="AA41" s="33">
        <v>0.10619498202993949</v>
      </c>
      <c r="AB41" s="33">
        <v>4.9790439227981251E-2</v>
      </c>
      <c r="AC41" s="33">
        <v>1.7052408204280736E-2</v>
      </c>
      <c r="AD41" s="32"/>
      <c r="AE41" s="29">
        <f t="shared" si="7"/>
        <v>81154.795288129753</v>
      </c>
      <c r="AF41" s="29">
        <f t="shared" si="8"/>
        <v>62010.536203526513</v>
      </c>
      <c r="AG41" s="29">
        <f t="shared" si="9"/>
        <v>31898.211507395925</v>
      </c>
      <c r="AH41" s="29">
        <f t="shared" si="10"/>
        <v>23256.70106455675</v>
      </c>
      <c r="AI41" s="29">
        <f t="shared" si="11"/>
        <v>10904.106190927894</v>
      </c>
      <c r="AJ41" s="29">
        <f t="shared" si="12"/>
        <v>3734.4773967374813</v>
      </c>
    </row>
    <row r="42" spans="1:36" ht="10.5" customHeight="1">
      <c r="A42">
        <f t="shared" si="6"/>
        <v>1948</v>
      </c>
      <c r="B42" s="29">
        <v>245100</v>
      </c>
      <c r="C42" s="27"/>
      <c r="D42" s="27"/>
      <c r="E42" s="27"/>
      <c r="F42" s="27"/>
      <c r="G42" s="27"/>
      <c r="H42" s="27"/>
      <c r="I42" s="27"/>
      <c r="J42" s="27"/>
      <c r="K42" s="27"/>
      <c r="L42" s="27"/>
      <c r="M42" s="27"/>
      <c r="N42" s="27"/>
      <c r="O42" s="27"/>
      <c r="P42" s="27"/>
      <c r="Q42" s="27"/>
      <c r="R42" s="27"/>
      <c r="S42" s="27"/>
      <c r="T42" s="27"/>
      <c r="U42" s="27"/>
      <c r="V42" s="27"/>
      <c r="X42" s="33">
        <v>0.38888138069501171</v>
      </c>
      <c r="Y42" s="33">
        <v>0.29723668493985822</v>
      </c>
      <c r="Z42" s="33">
        <v>0.15757212630416623</v>
      </c>
      <c r="AA42" s="33">
        <v>0.117144840131903</v>
      </c>
      <c r="AB42" s="33">
        <v>5.6519075116943741E-2</v>
      </c>
      <c r="AC42" s="33">
        <v>1.9417654432244112E-2</v>
      </c>
      <c r="AD42" s="32"/>
      <c r="AE42" s="29">
        <f t="shared" si="7"/>
        <v>95314.826408347377</v>
      </c>
      <c r="AF42" s="29">
        <f t="shared" si="8"/>
        <v>72852.711478759244</v>
      </c>
      <c r="AG42" s="29">
        <f t="shared" si="9"/>
        <v>38620.928157151146</v>
      </c>
      <c r="AH42" s="29">
        <f t="shared" si="10"/>
        <v>28712.200316329425</v>
      </c>
      <c r="AI42" s="29">
        <f t="shared" si="11"/>
        <v>13852.825311162911</v>
      </c>
      <c r="AJ42" s="29">
        <f t="shared" si="12"/>
        <v>4759.2671013430318</v>
      </c>
    </row>
    <row r="43" spans="1:36" ht="10.5" customHeight="1">
      <c r="A43">
        <f t="shared" si="6"/>
        <v>1949</v>
      </c>
      <c r="B43" s="29">
        <v>240000</v>
      </c>
      <c r="C43" s="27"/>
      <c r="D43" s="27"/>
      <c r="E43" s="27"/>
      <c r="F43" s="27"/>
      <c r="G43" s="27"/>
      <c r="H43" s="27"/>
      <c r="I43" s="27"/>
      <c r="J43" s="27"/>
      <c r="K43" s="27"/>
      <c r="L43" s="27"/>
      <c r="M43" s="27"/>
      <c r="N43" s="27"/>
      <c r="O43" s="27"/>
      <c r="P43" s="27"/>
      <c r="Q43" s="27"/>
      <c r="R43" s="27"/>
      <c r="S43" s="27"/>
      <c r="T43" s="27"/>
      <c r="U43" s="27"/>
      <c r="V43" s="27"/>
      <c r="X43" s="33">
        <v>0.3833661813601047</v>
      </c>
      <c r="Y43" s="33">
        <v>0.28791812554574092</v>
      </c>
      <c r="Z43" s="33">
        <v>0.15163862901306932</v>
      </c>
      <c r="AA43" s="33">
        <v>0.11301768388687088</v>
      </c>
      <c r="AB43" s="33">
        <v>5.5188437516521027E-2</v>
      </c>
      <c r="AC43" s="33">
        <v>1.9404691190022062E-2</v>
      </c>
      <c r="AD43" s="32"/>
      <c r="AE43" s="29">
        <f t="shared" si="7"/>
        <v>92007.883526425125</v>
      </c>
      <c r="AF43" s="29">
        <f t="shared" si="8"/>
        <v>69100.350130977822</v>
      </c>
      <c r="AG43" s="29">
        <f t="shared" si="9"/>
        <v>36393.270963136638</v>
      </c>
      <c r="AH43" s="29">
        <f t="shared" si="10"/>
        <v>27124.244132849009</v>
      </c>
      <c r="AI43" s="29">
        <f t="shared" si="11"/>
        <v>13245.225003965046</v>
      </c>
      <c r="AJ43" s="29">
        <f t="shared" si="12"/>
        <v>4657.1258856052946</v>
      </c>
    </row>
    <row r="44" spans="1:36" ht="10.5" customHeight="1">
      <c r="A44">
        <f t="shared" si="6"/>
        <v>1950</v>
      </c>
      <c r="B44" s="29">
        <v>267000</v>
      </c>
      <c r="C44" s="27"/>
      <c r="D44" s="27"/>
      <c r="E44" s="27"/>
      <c r="F44" s="27"/>
      <c r="G44" s="27"/>
      <c r="H44" s="27"/>
      <c r="I44" s="27"/>
      <c r="J44" s="27"/>
      <c r="K44" s="27"/>
      <c r="L44" s="27"/>
      <c r="M44" s="27"/>
      <c r="N44" s="27"/>
      <c r="O44" s="27"/>
      <c r="P44" s="27"/>
      <c r="Q44" s="27"/>
      <c r="R44" s="27"/>
      <c r="S44" s="27"/>
      <c r="T44" s="27"/>
      <c r="U44" s="27"/>
      <c r="V44" s="27"/>
      <c r="X44" s="33">
        <v>0.3896502996440685</v>
      </c>
      <c r="Y44" s="33">
        <v>0.29608597026848099</v>
      </c>
      <c r="Z44" s="33">
        <v>0.15837409846349199</v>
      </c>
      <c r="AA44" s="33">
        <v>0.11747651525120129</v>
      </c>
      <c r="AB44" s="33">
        <v>5.6811472810778342E-2</v>
      </c>
      <c r="AC44" s="33">
        <v>1.619759621936789E-2</v>
      </c>
      <c r="AD44" s="32"/>
      <c r="AE44" s="29">
        <f t="shared" si="7"/>
        <v>104036.63000496628</v>
      </c>
      <c r="AF44" s="29">
        <f t="shared" si="8"/>
        <v>79054.954061684432</v>
      </c>
      <c r="AG44" s="29">
        <f t="shared" si="9"/>
        <v>42285.884289752357</v>
      </c>
      <c r="AH44" s="29">
        <f t="shared" si="10"/>
        <v>31366.229572070744</v>
      </c>
      <c r="AI44" s="29">
        <f t="shared" si="11"/>
        <v>15168.663240477817</v>
      </c>
      <c r="AJ44" s="29">
        <f t="shared" si="12"/>
        <v>4324.7581905712268</v>
      </c>
    </row>
    <row r="45" spans="1:36" ht="10.5" customHeight="1">
      <c r="A45">
        <f t="shared" si="6"/>
        <v>1951</v>
      </c>
      <c r="B45" s="29">
        <v>308000</v>
      </c>
      <c r="C45" s="27"/>
      <c r="D45" s="27"/>
      <c r="E45" s="27"/>
      <c r="F45" s="27"/>
      <c r="G45" s="27"/>
      <c r="H45" s="27"/>
      <c r="I45" s="27"/>
      <c r="J45" s="27"/>
      <c r="K45" s="27"/>
      <c r="L45" s="27"/>
      <c r="M45" s="27"/>
      <c r="N45" s="27"/>
      <c r="O45" s="27"/>
      <c r="P45" s="27"/>
      <c r="Q45" s="27"/>
      <c r="R45" s="27"/>
      <c r="S45" s="27"/>
      <c r="T45" s="27"/>
      <c r="U45" s="27"/>
      <c r="V45" s="27"/>
      <c r="X45" s="33">
        <v>0.37684533421482391</v>
      </c>
      <c r="Y45" s="33">
        <v>0.28477024730209427</v>
      </c>
      <c r="Z45" s="33">
        <v>0.14932423393763533</v>
      </c>
      <c r="AA45" s="33">
        <v>0.10965245691085808</v>
      </c>
      <c r="AB45" s="33">
        <v>5.1271509629121845E-2</v>
      </c>
      <c r="AC45" s="33">
        <v>1.7172479605709608E-2</v>
      </c>
      <c r="AD45" s="32"/>
      <c r="AE45" s="29">
        <f t="shared" si="7"/>
        <v>116068.36293816577</v>
      </c>
      <c r="AF45" s="29">
        <f t="shared" si="8"/>
        <v>87709.236169045034</v>
      </c>
      <c r="AG45" s="29">
        <f t="shared" si="9"/>
        <v>45991.86405279168</v>
      </c>
      <c r="AH45" s="29">
        <f t="shared" si="10"/>
        <v>33772.95672854429</v>
      </c>
      <c r="AI45" s="29">
        <f t="shared" si="11"/>
        <v>15791.624965769528</v>
      </c>
      <c r="AJ45" s="29">
        <f t="shared" si="12"/>
        <v>5289.1237185585596</v>
      </c>
    </row>
    <row r="46" spans="1:36" ht="10.5" customHeight="1">
      <c r="A46">
        <f t="shared" si="6"/>
        <v>1952</v>
      </c>
      <c r="B46" s="29">
        <v>326500</v>
      </c>
      <c r="C46" s="27"/>
      <c r="D46" s="27"/>
      <c r="E46" s="27"/>
      <c r="F46" s="27"/>
      <c r="G46" s="27"/>
      <c r="H46" s="27"/>
      <c r="I46" s="27"/>
      <c r="J46" s="27"/>
      <c r="K46" s="27"/>
      <c r="L46" s="27"/>
      <c r="M46" s="27"/>
      <c r="N46" s="27"/>
      <c r="O46" s="27"/>
      <c r="P46" s="27"/>
      <c r="Q46" s="27"/>
      <c r="R46" s="27"/>
      <c r="S46" s="27"/>
      <c r="T46" s="27"/>
      <c r="U46" s="27"/>
      <c r="V46" s="27"/>
      <c r="X46" s="33">
        <v>0.36484868779645951</v>
      </c>
      <c r="Y46" s="33">
        <v>0.27334468181862132</v>
      </c>
      <c r="Z46" s="33">
        <v>0.14186046457816745</v>
      </c>
      <c r="AA46" s="33">
        <v>0.10387260510125843</v>
      </c>
      <c r="AB46" s="33">
        <v>4.8657362918243047E-2</v>
      </c>
      <c r="AC46" s="33">
        <v>1.6384831532449257E-2</v>
      </c>
      <c r="AD46" s="32"/>
      <c r="AE46" s="29">
        <f t="shared" si="7"/>
        <v>119123.09656554404</v>
      </c>
      <c r="AF46" s="29">
        <f t="shared" si="8"/>
        <v>89247.038613779863</v>
      </c>
      <c r="AG46" s="29">
        <f t="shared" si="9"/>
        <v>46317.441684771671</v>
      </c>
      <c r="AH46" s="29">
        <f t="shared" si="10"/>
        <v>33914.405565560875</v>
      </c>
      <c r="AI46" s="29">
        <f t="shared" si="11"/>
        <v>15886.628992806354</v>
      </c>
      <c r="AJ46" s="29">
        <f t="shared" si="12"/>
        <v>5349.6474953446823</v>
      </c>
    </row>
    <row r="47" spans="1:36" ht="10.5" customHeight="1">
      <c r="A47">
        <f t="shared" si="6"/>
        <v>1953</v>
      </c>
      <c r="B47" s="29">
        <v>344400</v>
      </c>
      <c r="C47" s="27"/>
      <c r="D47" s="27"/>
      <c r="E47" s="27"/>
      <c r="F47" s="27"/>
      <c r="G47" s="27"/>
      <c r="H47" s="27"/>
      <c r="I47" s="27"/>
      <c r="J47" s="27"/>
      <c r="K47" s="27"/>
      <c r="L47" s="27"/>
      <c r="M47" s="27"/>
      <c r="N47" s="27"/>
      <c r="O47" s="27"/>
      <c r="P47" s="27"/>
      <c r="Q47" s="27"/>
      <c r="R47" s="27"/>
      <c r="S47" s="27"/>
      <c r="T47" s="27"/>
      <c r="U47" s="27"/>
      <c r="V47" s="27"/>
      <c r="X47" s="33">
        <v>0.35468931409907689</v>
      </c>
      <c r="Y47" s="33">
        <v>0.2614289402153967</v>
      </c>
      <c r="Z47" s="33">
        <v>0.1324814566687493</v>
      </c>
      <c r="AA47" s="33">
        <v>9.6748768058586523E-2</v>
      </c>
      <c r="AB47" s="33">
        <v>4.5221448293458852E-2</v>
      </c>
      <c r="AC47" s="33">
        <v>1.5546336772092476E-2</v>
      </c>
      <c r="AD47" s="32"/>
      <c r="AE47" s="29">
        <f t="shared" si="7"/>
        <v>122154.99977572208</v>
      </c>
      <c r="AF47" s="29">
        <f t="shared" si="8"/>
        <v>90036.127010182623</v>
      </c>
      <c r="AG47" s="29">
        <f t="shared" si="9"/>
        <v>45626.613676717257</v>
      </c>
      <c r="AH47" s="29">
        <f t="shared" si="10"/>
        <v>33320.275719377198</v>
      </c>
      <c r="AI47" s="29">
        <f t="shared" si="11"/>
        <v>15574.266792267228</v>
      </c>
      <c r="AJ47" s="29">
        <f t="shared" si="12"/>
        <v>5354.1583843086491</v>
      </c>
    </row>
    <row r="48" spans="1:36" ht="10.5" customHeight="1">
      <c r="A48">
        <f t="shared" si="6"/>
        <v>1954</v>
      </c>
      <c r="B48" s="29">
        <v>344400</v>
      </c>
      <c r="C48" s="27"/>
      <c r="D48" s="27"/>
      <c r="E48" s="27"/>
      <c r="F48" s="27"/>
      <c r="G48" s="27"/>
      <c r="H48" s="27"/>
      <c r="I48" s="27"/>
      <c r="J48" s="27"/>
      <c r="K48" s="27"/>
      <c r="L48" s="27"/>
      <c r="M48" s="27"/>
      <c r="N48" s="27"/>
      <c r="O48" s="27"/>
      <c r="P48" s="27"/>
      <c r="Q48" s="27"/>
      <c r="R48" s="27"/>
      <c r="S48" s="27"/>
      <c r="T48" s="27"/>
      <c r="U48" s="27"/>
      <c r="V48" s="27"/>
      <c r="X48" s="33">
        <v>0.35877895823021733</v>
      </c>
      <c r="Y48" s="33">
        <v>0.26314930400131659</v>
      </c>
      <c r="Z48" s="33">
        <v>0.13475912188483044</v>
      </c>
      <c r="AA48" s="33">
        <v>9.793871667387212E-2</v>
      </c>
      <c r="AB48" s="33">
        <v>4.5846254958745378E-2</v>
      </c>
      <c r="AC48" s="33">
        <v>1.5701766081134785E-2</v>
      </c>
      <c r="AD48" s="32"/>
      <c r="AE48" s="29">
        <f t="shared" si="7"/>
        <v>123563.47321448685</v>
      </c>
      <c r="AF48" s="29">
        <f t="shared" si="8"/>
        <v>90628.620298053429</v>
      </c>
      <c r="AG48" s="29">
        <f t="shared" si="9"/>
        <v>46411.041577135606</v>
      </c>
      <c r="AH48" s="29">
        <f t="shared" si="10"/>
        <v>33730.094022481557</v>
      </c>
      <c r="AI48" s="29">
        <f t="shared" si="11"/>
        <v>15789.450207791908</v>
      </c>
      <c r="AJ48" s="29">
        <f t="shared" si="12"/>
        <v>5407.6882383428201</v>
      </c>
    </row>
    <row r="49" spans="1:36" ht="10.5" customHeight="1">
      <c r="A49">
        <f t="shared" si="6"/>
        <v>1955</v>
      </c>
      <c r="B49" s="29">
        <v>377600</v>
      </c>
      <c r="C49" s="27"/>
      <c r="D49" s="27"/>
      <c r="E49" s="27"/>
      <c r="F49" s="27"/>
      <c r="G49" s="27"/>
      <c r="H49" s="27"/>
      <c r="I49" s="27"/>
      <c r="J49" s="27"/>
      <c r="K49" s="27"/>
      <c r="L49" s="27"/>
      <c r="M49" s="27"/>
      <c r="N49" s="27"/>
      <c r="O49" s="27"/>
      <c r="P49" s="27"/>
      <c r="Q49" s="27"/>
      <c r="R49" s="27"/>
      <c r="S49" s="27"/>
      <c r="T49" s="27"/>
      <c r="U49" s="27"/>
      <c r="V49" s="27"/>
      <c r="X49" s="33">
        <v>0.36511563330619468</v>
      </c>
      <c r="Y49" s="33">
        <v>0.27028395519362836</v>
      </c>
      <c r="Z49" s="33">
        <v>0.1411680582912461</v>
      </c>
      <c r="AA49" s="33">
        <v>0.10300842834145085</v>
      </c>
      <c r="AB49" s="33">
        <v>5.0014683097199981E-2</v>
      </c>
      <c r="AC49" s="33">
        <v>1.8317840165269664E-2</v>
      </c>
      <c r="AD49" s="32"/>
      <c r="AE49" s="29">
        <f t="shared" si="7"/>
        <v>137867.66313641911</v>
      </c>
      <c r="AF49" s="29">
        <f t="shared" si="8"/>
        <v>102059.22148111407</v>
      </c>
      <c r="AG49" s="29">
        <f t="shared" si="9"/>
        <v>53305.058810774528</v>
      </c>
      <c r="AH49" s="29">
        <f t="shared" si="10"/>
        <v>38895.982541731843</v>
      </c>
      <c r="AI49" s="29">
        <f t="shared" si="11"/>
        <v>18885.544337502713</v>
      </c>
      <c r="AJ49" s="29">
        <f t="shared" si="12"/>
        <v>6916.8164464058254</v>
      </c>
    </row>
    <row r="50" spans="1:36" ht="10.5" customHeight="1">
      <c r="A50">
        <f t="shared" si="6"/>
        <v>1956</v>
      </c>
      <c r="B50" s="29">
        <v>400900</v>
      </c>
      <c r="C50" s="27"/>
      <c r="D50" s="27"/>
      <c r="E50" s="27"/>
      <c r="F50" s="27"/>
      <c r="G50" s="27"/>
      <c r="H50" s="27"/>
      <c r="I50" s="27"/>
      <c r="J50" s="27"/>
      <c r="K50" s="27"/>
      <c r="L50" s="27"/>
      <c r="M50" s="27"/>
      <c r="N50" s="27"/>
      <c r="O50" s="27"/>
      <c r="P50" s="27"/>
      <c r="Q50" s="27"/>
      <c r="R50" s="27"/>
      <c r="S50" s="27"/>
      <c r="T50" s="27"/>
      <c r="U50" s="27"/>
      <c r="V50" s="27"/>
      <c r="X50" s="33">
        <v>0.35736293936195046</v>
      </c>
      <c r="Y50" s="33">
        <v>0.26389031145562836</v>
      </c>
      <c r="Z50" s="33">
        <v>0.13376604726420632</v>
      </c>
      <c r="AA50" s="33">
        <v>9.7654135911520515E-2</v>
      </c>
      <c r="AB50" s="33">
        <v>4.6559582162747755E-2</v>
      </c>
      <c r="AC50" s="33">
        <v>1.6627906718182029E-2</v>
      </c>
      <c r="AD50" s="32"/>
      <c r="AE50" s="29">
        <f t="shared" si="7"/>
        <v>143266.80239020594</v>
      </c>
      <c r="AF50" s="29">
        <f t="shared" si="8"/>
        <v>105793.62586256141</v>
      </c>
      <c r="AG50" s="29">
        <f t="shared" si="9"/>
        <v>53626.808348220315</v>
      </c>
      <c r="AH50" s="29">
        <f t="shared" si="10"/>
        <v>39149.543086928577</v>
      </c>
      <c r="AI50" s="29">
        <f t="shared" si="11"/>
        <v>18665.736489045576</v>
      </c>
      <c r="AJ50" s="29">
        <f t="shared" si="12"/>
        <v>6666.1278033191757</v>
      </c>
    </row>
    <row r="51" spans="1:36" ht="10.5" customHeight="1">
      <c r="A51">
        <f t="shared" si="6"/>
        <v>1957</v>
      </c>
      <c r="B51" s="29">
        <v>419400</v>
      </c>
      <c r="C51" s="27"/>
      <c r="D51" s="27"/>
      <c r="E51" s="27"/>
      <c r="F51" s="27"/>
      <c r="G51" s="27"/>
      <c r="H51" s="27"/>
      <c r="I51" s="27"/>
      <c r="J51" s="27"/>
      <c r="K51" s="27"/>
      <c r="L51" s="27"/>
      <c r="M51" s="27"/>
      <c r="N51" s="27"/>
      <c r="O51" s="27"/>
      <c r="P51" s="27"/>
      <c r="Q51" s="27"/>
      <c r="R51" s="27"/>
      <c r="S51" s="27"/>
      <c r="T51" s="27"/>
      <c r="U51" s="27"/>
      <c r="V51" s="27"/>
      <c r="X51" s="33">
        <v>0.35741453426087605</v>
      </c>
      <c r="Y51" s="33">
        <v>0.26424788944317257</v>
      </c>
      <c r="Z51" s="33">
        <v>0.13153995802429483</v>
      </c>
      <c r="AA51" s="33">
        <v>9.5777113748163875E-2</v>
      </c>
      <c r="AB51" s="33">
        <v>4.5161416192828777E-2</v>
      </c>
      <c r="AC51" s="33">
        <v>1.5668118826118266E-2</v>
      </c>
      <c r="AD51" s="32"/>
      <c r="AE51" s="29">
        <f t="shared" si="7"/>
        <v>149899.65566901141</v>
      </c>
      <c r="AF51" s="29">
        <f t="shared" si="8"/>
        <v>110825.56483246658</v>
      </c>
      <c r="AG51" s="29">
        <f t="shared" si="9"/>
        <v>55167.858395389252</v>
      </c>
      <c r="AH51" s="29">
        <f t="shared" si="10"/>
        <v>40168.921505979932</v>
      </c>
      <c r="AI51" s="29">
        <f t="shared" si="11"/>
        <v>18940.697951272388</v>
      </c>
      <c r="AJ51" s="29">
        <f t="shared" si="12"/>
        <v>6571.2090356740009</v>
      </c>
    </row>
    <row r="52" spans="1:36" ht="10.5" customHeight="1">
      <c r="A52">
        <f t="shared" si="6"/>
        <v>1958</v>
      </c>
      <c r="B52" s="29">
        <v>421600</v>
      </c>
      <c r="C52" s="27"/>
      <c r="D52" s="27"/>
      <c r="E52" s="27"/>
      <c r="F52" s="27"/>
      <c r="G52" s="27"/>
      <c r="H52" s="27"/>
      <c r="I52" s="27"/>
      <c r="J52" s="27"/>
      <c r="K52" s="27"/>
      <c r="L52" s="27"/>
      <c r="M52" s="27"/>
      <c r="N52" s="27"/>
      <c r="O52" s="27"/>
      <c r="P52" s="27"/>
      <c r="Q52" s="27"/>
      <c r="R52" s="27"/>
      <c r="S52" s="27"/>
      <c r="T52" s="27"/>
      <c r="U52" s="27"/>
      <c r="V52" s="27"/>
      <c r="X52" s="33">
        <v>0.35683094045467367</v>
      </c>
      <c r="Y52" s="33">
        <v>0.25952754764853314</v>
      </c>
      <c r="Z52" s="33">
        <v>0.12459504283311318</v>
      </c>
      <c r="AA52" s="33">
        <v>8.9451005769696709E-2</v>
      </c>
      <c r="AB52" s="33">
        <v>4.1192042974353922E-2</v>
      </c>
      <c r="AC52" s="33">
        <v>1.4107921890717768E-2</v>
      </c>
      <c r="AD52" s="32"/>
      <c r="AE52" s="29">
        <f t="shared" si="7"/>
        <v>150439.92449569041</v>
      </c>
      <c r="AF52" s="29">
        <f t="shared" si="8"/>
        <v>109416.81408862157</v>
      </c>
      <c r="AG52" s="29">
        <f t="shared" si="9"/>
        <v>52529.270058440517</v>
      </c>
      <c r="AH52" s="29">
        <f t="shared" si="10"/>
        <v>37712.544032504135</v>
      </c>
      <c r="AI52" s="29">
        <f t="shared" si="11"/>
        <v>17366.565317987614</v>
      </c>
      <c r="AJ52" s="29">
        <f t="shared" si="12"/>
        <v>5947.8998691266106</v>
      </c>
    </row>
    <row r="53" spans="1:36" ht="10.5" customHeight="1">
      <c r="A53">
        <f t="shared" si="6"/>
        <v>1959</v>
      </c>
      <c r="B53" s="29">
        <v>459600</v>
      </c>
      <c r="C53" s="27"/>
      <c r="D53" s="27"/>
      <c r="E53" s="27"/>
      <c r="F53" s="27"/>
      <c r="G53" s="27"/>
      <c r="H53" s="27"/>
      <c r="I53" s="27"/>
      <c r="J53" s="27"/>
      <c r="K53" s="27"/>
      <c r="L53" s="27"/>
      <c r="M53" s="27"/>
      <c r="N53" s="27"/>
      <c r="O53" s="27"/>
      <c r="P53" s="27"/>
      <c r="Q53" s="27"/>
      <c r="R53" s="27"/>
      <c r="S53" s="27"/>
      <c r="T53" s="27"/>
      <c r="U53" s="27"/>
      <c r="V53" s="27"/>
      <c r="X53" s="33">
        <v>0.36142283693115729</v>
      </c>
      <c r="Y53" s="33">
        <v>0.26485848415889301</v>
      </c>
      <c r="Z53" s="33">
        <v>0.13053056676668032</v>
      </c>
      <c r="AA53" s="33">
        <v>9.5234947619954324E-2</v>
      </c>
      <c r="AB53" s="33">
        <v>4.4502310793777498E-2</v>
      </c>
      <c r="AC53" s="33">
        <v>1.5633023080576128E-2</v>
      </c>
      <c r="AD53" s="32"/>
      <c r="AE53" s="29">
        <f t="shared" si="7"/>
        <v>166109.9358535599</v>
      </c>
      <c r="AF53" s="29">
        <f t="shared" si="8"/>
        <v>121728.95931942723</v>
      </c>
      <c r="AG53" s="29">
        <f t="shared" si="9"/>
        <v>59991.848485966271</v>
      </c>
      <c r="AH53" s="29">
        <f t="shared" si="10"/>
        <v>43769.981926131004</v>
      </c>
      <c r="AI53" s="29">
        <f t="shared" si="11"/>
        <v>20453.262040820136</v>
      </c>
      <c r="AJ53" s="29">
        <f t="shared" si="12"/>
        <v>7184.9374078327883</v>
      </c>
    </row>
    <row r="54" spans="1:36" ht="10.5" customHeight="1">
      <c r="A54">
        <f t="shared" si="6"/>
        <v>1960</v>
      </c>
      <c r="B54" s="29">
        <v>479900</v>
      </c>
      <c r="C54" s="29"/>
      <c r="D54" s="29">
        <v>163749.40374730001</v>
      </c>
      <c r="E54" s="29">
        <v>115313.7700683</v>
      </c>
      <c r="F54" s="29">
        <v>54804.634694299995</v>
      </c>
      <c r="G54" s="29">
        <v>40789.277303299998</v>
      </c>
      <c r="H54" s="29">
        <v>20473.935640299998</v>
      </c>
      <c r="I54" s="29">
        <v>7327.6747383000002</v>
      </c>
      <c r="J54" s="29"/>
      <c r="K54" s="29">
        <v>456272.36703999998</v>
      </c>
      <c r="L54" s="29">
        <v>154853.11566859999</v>
      </c>
      <c r="M54" s="29">
        <v>110128.9034196</v>
      </c>
      <c r="N54" s="29">
        <v>53240.713741600004</v>
      </c>
      <c r="O54" s="29">
        <v>39763.365515600002</v>
      </c>
      <c r="P54" s="29">
        <v>20009.7344816</v>
      </c>
      <c r="Q54" s="29">
        <v>7149.1036975999996</v>
      </c>
      <c r="R54" s="29"/>
      <c r="S54" s="75">
        <v>180730.50313569722</v>
      </c>
      <c r="T54" s="76">
        <f>$S54*0.01</f>
        <v>1807.3050313569722</v>
      </c>
      <c r="U54" s="76">
        <f>$S54*0.001</f>
        <v>180.73050313569723</v>
      </c>
      <c r="V54" s="76">
        <f>$S54*0.0001</f>
        <v>18.073050313569723</v>
      </c>
      <c r="X54" s="33">
        <v>0.35609890230409946</v>
      </c>
      <c r="Y54" s="33">
        <v>0.25824332600196526</v>
      </c>
      <c r="Z54" s="33">
        <v>0.12577750872413482</v>
      </c>
      <c r="AA54" s="33">
        <v>9.0964460072465572E-2</v>
      </c>
      <c r="AB54" s="33">
        <v>4.3992938337876521E-2</v>
      </c>
      <c r="AC54" s="33">
        <v>1.6534362733793297E-2</v>
      </c>
      <c r="AD54" s="32"/>
      <c r="AE54" s="29">
        <f t="shared" si="7"/>
        <v>170891.86321573734</v>
      </c>
      <c r="AF54" s="29">
        <f t="shared" si="8"/>
        <v>123930.97214834312</v>
      </c>
      <c r="AG54" s="29">
        <f t="shared" si="9"/>
        <v>60360.6264367123</v>
      </c>
      <c r="AH54" s="29">
        <f t="shared" si="10"/>
        <v>43653.844388776226</v>
      </c>
      <c r="AI54" s="29">
        <f t="shared" si="11"/>
        <v>21112.211108346943</v>
      </c>
      <c r="AJ54" s="29">
        <f t="shared" si="12"/>
        <v>7934.8406759474037</v>
      </c>
    </row>
    <row r="55" spans="1:36" ht="10.5" customHeight="1">
      <c r="A55">
        <f t="shared" si="6"/>
        <v>1961</v>
      </c>
      <c r="B55" s="29">
        <v>497200</v>
      </c>
      <c r="C55" s="29"/>
      <c r="D55" s="29"/>
      <c r="E55" s="29"/>
      <c r="F55" s="29"/>
      <c r="G55" s="29"/>
      <c r="H55" s="29"/>
      <c r="I55" s="29"/>
      <c r="J55" s="29"/>
      <c r="K55" s="29"/>
      <c r="L55" s="29"/>
      <c r="M55" s="29"/>
      <c r="N55" s="29"/>
      <c r="O55" s="29"/>
      <c r="P55" s="29"/>
      <c r="Q55" s="29"/>
      <c r="R55" s="29"/>
      <c r="S55" s="75"/>
      <c r="T55" s="75"/>
      <c r="U55" s="75"/>
      <c r="V55" s="75"/>
      <c r="X55" s="33">
        <v>0.35811311432809712</v>
      </c>
      <c r="Y55" s="33">
        <v>0.2599203778707832</v>
      </c>
      <c r="Z55" s="33">
        <v>0.1243952703218421</v>
      </c>
      <c r="AA55" s="33">
        <v>8.9268324241197364E-2</v>
      </c>
      <c r="AB55" s="33">
        <v>4.3712419199356679E-2</v>
      </c>
      <c r="AC55" s="33">
        <v>1.6716379630738739E-2</v>
      </c>
      <c r="AD55" s="33"/>
      <c r="AE55" s="29">
        <f t="shared" si="7"/>
        <v>178053.84044392989</v>
      </c>
      <c r="AF55" s="29">
        <f t="shared" si="8"/>
        <v>129232.41187735341</v>
      </c>
      <c r="AG55" s="29">
        <f t="shared" si="9"/>
        <v>61849.328404019892</v>
      </c>
      <c r="AH55" s="29">
        <f t="shared" si="10"/>
        <v>44384.21081272333</v>
      </c>
      <c r="AI55" s="29">
        <f t="shared" si="11"/>
        <v>21733.814825920141</v>
      </c>
      <c r="AJ55" s="29">
        <f t="shared" si="12"/>
        <v>8311.383952403301</v>
      </c>
    </row>
    <row r="56" spans="1:36" ht="10.5" customHeight="1">
      <c r="A56">
        <f t="shared" si="6"/>
        <v>1962</v>
      </c>
      <c r="B56" s="29">
        <v>535200</v>
      </c>
      <c r="C56" s="29"/>
      <c r="D56" s="29">
        <v>181153.16963820002</v>
      </c>
      <c r="E56" s="29">
        <v>127124.11390520001</v>
      </c>
      <c r="F56" s="29">
        <v>61548.324236200002</v>
      </c>
      <c r="G56" s="29">
        <v>46179.104475200002</v>
      </c>
      <c r="H56" s="29">
        <v>23534.002179199997</v>
      </c>
      <c r="I56" s="29">
        <v>9034.5740201999997</v>
      </c>
      <c r="J56" s="29"/>
      <c r="K56" s="29">
        <v>475576.05083000002</v>
      </c>
      <c r="L56" s="29">
        <v>151901.72814259998</v>
      </c>
      <c r="M56" s="29">
        <v>105337.40679760001</v>
      </c>
      <c r="N56" s="29">
        <v>49515.218171599998</v>
      </c>
      <c r="O56" s="29">
        <v>36595.822726599996</v>
      </c>
      <c r="P56" s="29">
        <v>18333.642627599998</v>
      </c>
      <c r="Q56" s="29">
        <v>7025.6044525999996</v>
      </c>
      <c r="R56" s="29"/>
      <c r="S56" s="75">
        <v>183968.15368332862</v>
      </c>
      <c r="T56" s="76">
        <f>$S56*0.01</f>
        <v>1839.6815368332864</v>
      </c>
      <c r="U56" s="76">
        <f>$S56*0.001</f>
        <v>183.96815368332864</v>
      </c>
      <c r="V56" s="76">
        <f>$S56*0.0001</f>
        <v>18.396815368332863</v>
      </c>
      <c r="X56" s="33">
        <v>0.36070626974105835</v>
      </c>
      <c r="Y56" s="33">
        <v>0.2617984414100647</v>
      </c>
      <c r="Z56" s="33">
        <v>0.12560822069644928</v>
      </c>
      <c r="AA56" s="33">
        <v>9.088558703660965E-2</v>
      </c>
      <c r="AB56" s="33">
        <v>4.4267099350690842E-2</v>
      </c>
      <c r="AC56" s="33">
        <v>1.6851980239152908E-2</v>
      </c>
      <c r="AD56" s="33"/>
      <c r="AE56" s="29">
        <f t="shared" si="7"/>
        <v>193049.99556541443</v>
      </c>
      <c r="AF56" s="29">
        <f t="shared" si="8"/>
        <v>140114.52584266663</v>
      </c>
      <c r="AG56" s="29">
        <f t="shared" si="9"/>
        <v>67225.519716739655</v>
      </c>
      <c r="AH56" s="29">
        <f t="shared" si="10"/>
        <v>48641.966181993484</v>
      </c>
      <c r="AI56" s="29">
        <f t="shared" si="11"/>
        <v>23691.751572489738</v>
      </c>
      <c r="AJ56" s="29">
        <f t="shared" si="12"/>
        <v>9019.1798239946365</v>
      </c>
    </row>
    <row r="57" spans="1:36" ht="10.5" customHeight="1">
      <c r="A57">
        <f t="shared" si="6"/>
        <v>1963</v>
      </c>
      <c r="B57" s="29">
        <v>566600</v>
      </c>
      <c r="C57" s="29"/>
      <c r="D57" s="29"/>
      <c r="E57" s="29"/>
      <c r="F57" s="29"/>
      <c r="G57" s="29"/>
      <c r="H57" s="29"/>
      <c r="I57" s="29"/>
      <c r="J57" s="29"/>
      <c r="K57" s="29"/>
      <c r="L57" s="29"/>
      <c r="M57" s="29"/>
      <c r="N57" s="29"/>
      <c r="O57" s="29"/>
      <c r="P57" s="29"/>
      <c r="Q57" s="29"/>
      <c r="R57" s="29"/>
      <c r="S57" s="75"/>
      <c r="T57" s="75"/>
      <c r="U57" s="75"/>
      <c r="V57" s="75"/>
      <c r="X57" s="33">
        <v>0.36513662338256836</v>
      </c>
      <c r="Y57" s="33">
        <v>0.26530915498733521</v>
      </c>
      <c r="Z57" s="33">
        <v>0.12731069326400757</v>
      </c>
      <c r="AA57" s="33">
        <v>9.2431481927633286E-2</v>
      </c>
      <c r="AB57" s="33">
        <v>4.5576987788081169E-2</v>
      </c>
      <c r="AC57" s="33">
        <v>1.7602045089006424E-2</v>
      </c>
      <c r="AD57" s="33"/>
      <c r="AE57" s="29">
        <f t="shared" si="7"/>
        <v>206886.41080856323</v>
      </c>
      <c r="AF57" s="29">
        <f t="shared" si="8"/>
        <v>150324.16721582413</v>
      </c>
      <c r="AG57" s="29">
        <f t="shared" si="9"/>
        <v>72134.238803386688</v>
      </c>
      <c r="AH57" s="29">
        <f t="shared" si="10"/>
        <v>52371.67766019702</v>
      </c>
      <c r="AI57" s="29">
        <f t="shared" si="11"/>
        <v>25823.92128072679</v>
      </c>
      <c r="AJ57" s="29">
        <f t="shared" si="12"/>
        <v>9973.3187474310398</v>
      </c>
    </row>
    <row r="58" spans="1:36" ht="10.5" customHeight="1">
      <c r="A58">
        <f t="shared" si="6"/>
        <v>1964</v>
      </c>
      <c r="B58" s="29">
        <v>608300</v>
      </c>
      <c r="C58" s="29"/>
      <c r="D58" s="29">
        <v>200909.385496</v>
      </c>
      <c r="E58" s="29">
        <v>142111.315256</v>
      </c>
      <c r="F58" s="29">
        <v>70763.176135000002</v>
      </c>
      <c r="G58" s="29">
        <v>53788.089190999999</v>
      </c>
      <c r="H58" s="29">
        <v>27641.590719</v>
      </c>
      <c r="I58" s="29">
        <v>10330.065509</v>
      </c>
      <c r="J58" s="29"/>
      <c r="K58" s="29">
        <v>537779.37896</v>
      </c>
      <c r="L58" s="29">
        <v>166561.15091259999</v>
      </c>
      <c r="M58" s="29">
        <v>116226.7225126</v>
      </c>
      <c r="N58" s="29">
        <v>55856.357355599997</v>
      </c>
      <c r="O58" s="29">
        <v>41792.280380599994</v>
      </c>
      <c r="P58" s="29">
        <v>21032.640663599999</v>
      </c>
      <c r="Q58" s="29">
        <v>7482.4979386000005</v>
      </c>
      <c r="R58" s="29"/>
      <c r="S58" s="75">
        <v>186535.01789682038</v>
      </c>
      <c r="T58" s="76">
        <f>$S58*0.01</f>
        <v>1865.3501789682039</v>
      </c>
      <c r="U58" s="76">
        <f>$S58*0.001</f>
        <v>186.53501789682039</v>
      </c>
      <c r="V58" s="76">
        <f>$S58*0.0001</f>
        <v>18.653501789682039</v>
      </c>
      <c r="X58" s="33">
        <v>0.36956703662872314</v>
      </c>
      <c r="Y58" s="33">
        <v>0.26882478594779968</v>
      </c>
      <c r="Z58" s="33">
        <v>0.12903232872486115</v>
      </c>
      <c r="AA58" s="33">
        <v>9.3991994857788086E-2</v>
      </c>
      <c r="AB58" s="33">
        <v>4.6887598931789398E-2</v>
      </c>
      <c r="AC58" s="33">
        <v>1.8335258588194847E-2</v>
      </c>
      <c r="AD58" s="33"/>
      <c r="AE58" s="29">
        <f t="shared" si="7"/>
        <v>224807.62838125229</v>
      </c>
      <c r="AF58" s="29">
        <f t="shared" si="8"/>
        <v>163526.11729204655</v>
      </c>
      <c r="AG58" s="29">
        <f t="shared" si="9"/>
        <v>78490.365563333035</v>
      </c>
      <c r="AH58" s="29">
        <f t="shared" si="10"/>
        <v>57175.330471992493</v>
      </c>
      <c r="AI58" s="29">
        <f t="shared" si="11"/>
        <v>28521.726430207491</v>
      </c>
      <c r="AJ58" s="29">
        <f t="shared" si="12"/>
        <v>11153.337799198925</v>
      </c>
    </row>
    <row r="59" spans="1:36" ht="10.5" customHeight="1">
      <c r="A59">
        <f t="shared" si="6"/>
        <v>1965</v>
      </c>
      <c r="B59" s="29">
        <v>660300</v>
      </c>
      <c r="C59" s="29"/>
      <c r="D59" s="29"/>
      <c r="E59" s="29"/>
      <c r="F59" s="29"/>
      <c r="G59" s="29"/>
      <c r="H59" s="29"/>
      <c r="I59" s="29"/>
      <c r="J59" s="29"/>
      <c r="K59" s="29"/>
      <c r="L59" s="29"/>
      <c r="M59" s="29"/>
      <c r="N59" s="29"/>
      <c r="O59" s="29"/>
      <c r="P59" s="29"/>
      <c r="Q59" s="29"/>
      <c r="R59" s="29"/>
      <c r="S59" s="73"/>
      <c r="T59" s="73"/>
      <c r="U59" s="73"/>
      <c r="V59" s="73"/>
      <c r="X59" s="33">
        <v>0.3661283552646637</v>
      </c>
      <c r="Y59" s="33">
        <v>0.26606857776641846</v>
      </c>
      <c r="Z59" s="33">
        <v>0.1276603564620018</v>
      </c>
      <c r="AA59" s="33">
        <v>9.3144118785858154E-2</v>
      </c>
      <c r="AB59" s="33">
        <v>4.6550633385777473E-2</v>
      </c>
      <c r="AC59" s="33">
        <v>1.812448725104332E-2</v>
      </c>
      <c r="AD59" s="33"/>
      <c r="AE59" s="29">
        <f t="shared" si="7"/>
        <v>241754.55298125744</v>
      </c>
      <c r="AF59" s="29">
        <f t="shared" si="8"/>
        <v>175685.08189916611</v>
      </c>
      <c r="AG59" s="29">
        <f t="shared" si="9"/>
        <v>84294.133371859789</v>
      </c>
      <c r="AH59" s="29">
        <f t="shared" si="10"/>
        <v>61503.061634302139</v>
      </c>
      <c r="AI59" s="29">
        <f t="shared" si="11"/>
        <v>30737.383224628866</v>
      </c>
      <c r="AJ59" s="29">
        <f t="shared" si="12"/>
        <v>11967.598931863904</v>
      </c>
    </row>
    <row r="60" spans="1:36" ht="10.5" customHeight="1">
      <c r="A60">
        <f t="shared" si="6"/>
        <v>1966</v>
      </c>
      <c r="B60" s="29">
        <v>719700</v>
      </c>
      <c r="C60" s="29"/>
      <c r="D60" s="29">
        <v>243394.46999799999</v>
      </c>
      <c r="E60" s="29">
        <v>173061.207543</v>
      </c>
      <c r="F60" s="29">
        <v>85959.448994999999</v>
      </c>
      <c r="G60" s="29">
        <v>64497.135919000008</v>
      </c>
      <c r="H60" s="29">
        <v>33037.196729999996</v>
      </c>
      <c r="I60" s="29">
        <v>12582.755384</v>
      </c>
      <c r="J60" s="29"/>
      <c r="K60" s="29">
        <v>635097.24785000004</v>
      </c>
      <c r="L60" s="29">
        <v>204773.72420620002</v>
      </c>
      <c r="M60" s="29">
        <v>144494.79608120001</v>
      </c>
      <c r="N60" s="29">
        <v>70074.721228200011</v>
      </c>
      <c r="O60" s="29">
        <v>52230.083779200002</v>
      </c>
      <c r="P60" s="29">
        <v>26472.139807200001</v>
      </c>
      <c r="Q60" s="29">
        <v>9936.5384011999995</v>
      </c>
      <c r="R60" s="29"/>
      <c r="S60" s="75">
        <v>196071.7869549928</v>
      </c>
      <c r="T60" s="76">
        <f>$S60*0.01</f>
        <v>1960.7178695499281</v>
      </c>
      <c r="U60" s="76">
        <f>$S60*0.001</f>
        <v>196.0717869549928</v>
      </c>
      <c r="V60" s="76">
        <f>$S60*0.0001</f>
        <v>19.607178695499282</v>
      </c>
      <c r="X60" s="33">
        <v>0.36270073056221008</v>
      </c>
      <c r="Y60" s="33">
        <v>0.26332268118858337</v>
      </c>
      <c r="Z60" s="33">
        <v>0.12629033625125885</v>
      </c>
      <c r="AA60" s="33">
        <v>9.2305026948451996E-2</v>
      </c>
      <c r="AB60" s="33">
        <v>4.621567577123642E-2</v>
      </c>
      <c r="AC60" s="33">
        <v>1.7910012975335121E-2</v>
      </c>
      <c r="AD60" s="33"/>
      <c r="AE60" s="29">
        <f t="shared" si="7"/>
        <v>261035.7157856226</v>
      </c>
      <c r="AF60" s="29">
        <f t="shared" si="8"/>
        <v>189513.33365142345</v>
      </c>
      <c r="AG60" s="29">
        <f t="shared" si="9"/>
        <v>90891.155000030994</v>
      </c>
      <c r="AH60" s="29">
        <f t="shared" si="10"/>
        <v>66431.927894800901</v>
      </c>
      <c r="AI60" s="29">
        <f t="shared" si="11"/>
        <v>33261.421852558851</v>
      </c>
      <c r="AJ60" s="29">
        <f t="shared" si="12"/>
        <v>12889.836338348687</v>
      </c>
    </row>
    <row r="61" spans="1:36" ht="10.5" customHeight="1">
      <c r="A61">
        <f t="shared" si="6"/>
        <v>1967</v>
      </c>
      <c r="B61" s="29">
        <v>760200</v>
      </c>
      <c r="C61" s="29"/>
      <c r="D61" s="29">
        <v>255827.448252</v>
      </c>
      <c r="E61" s="29">
        <v>180642.39133399999</v>
      </c>
      <c r="F61" s="29">
        <v>87185.599204999991</v>
      </c>
      <c r="G61" s="29">
        <v>64570.734161</v>
      </c>
      <c r="H61" s="29">
        <v>32060.093353999997</v>
      </c>
      <c r="I61" s="29">
        <v>11736.014224</v>
      </c>
      <c r="J61" s="29"/>
      <c r="K61" s="29">
        <v>677059.89861999999</v>
      </c>
      <c r="L61" s="29">
        <v>216369.7990379</v>
      </c>
      <c r="M61" s="29">
        <v>151314.85152589998</v>
      </c>
      <c r="N61" s="29">
        <v>70594.001220899998</v>
      </c>
      <c r="O61" s="29">
        <v>51782.094710899997</v>
      </c>
      <c r="P61" s="29">
        <v>25029.783900900002</v>
      </c>
      <c r="Q61" s="29">
        <v>8943.9183039</v>
      </c>
      <c r="R61" s="29"/>
      <c r="S61" s="75">
        <v>200398.45609555169</v>
      </c>
      <c r="T61" s="76">
        <f t="shared" ref="T61:T109" si="13">$S61*0.01</f>
        <v>2003.9845609555171</v>
      </c>
      <c r="U61" s="76">
        <f t="shared" ref="U61:U109" si="14">$S61*0.001</f>
        <v>200.39845609555169</v>
      </c>
      <c r="V61" s="76">
        <f t="shared" ref="V61:V109" si="15">$S61*0.0001</f>
        <v>20.039845609555169</v>
      </c>
      <c r="X61" s="33">
        <v>0.35577994585037231</v>
      </c>
      <c r="Y61" s="33">
        <v>0.2574145644903183</v>
      </c>
      <c r="Z61" s="33">
        <v>0.12323675863444805</v>
      </c>
      <c r="AA61" s="33">
        <v>8.9448001235723495E-2</v>
      </c>
      <c r="AB61" s="33">
        <v>4.376557283103466E-2</v>
      </c>
      <c r="AC61" s="33">
        <v>1.6723248176276684E-2</v>
      </c>
      <c r="AD61" s="33"/>
      <c r="AE61" s="29">
        <f t="shared" si="7"/>
        <v>270463.91483545303</v>
      </c>
      <c r="AF61" s="29">
        <f t="shared" si="8"/>
        <v>195686.55192553997</v>
      </c>
      <c r="AG61" s="29">
        <f t="shared" si="9"/>
        <v>93684.583913907409</v>
      </c>
      <c r="AH61" s="29">
        <f t="shared" si="10"/>
        <v>67998.370539397001</v>
      </c>
      <c r="AI61" s="29">
        <f t="shared" si="11"/>
        <v>33270.588466152549</v>
      </c>
      <c r="AJ61" s="29">
        <f t="shared" si="12"/>
        <v>12713.013263605535</v>
      </c>
    </row>
    <row r="62" spans="1:36" ht="10.5" customHeight="1">
      <c r="A62">
        <f t="shared" si="6"/>
        <v>1968</v>
      </c>
      <c r="B62" s="29">
        <v>832100</v>
      </c>
      <c r="C62" s="29"/>
      <c r="D62" s="29">
        <v>278983.89843199996</v>
      </c>
      <c r="E62" s="29">
        <v>197079.28273399998</v>
      </c>
      <c r="F62" s="29">
        <v>96186.763324</v>
      </c>
      <c r="G62" s="29">
        <v>72312.339926000001</v>
      </c>
      <c r="H62" s="29">
        <v>36971.793312000002</v>
      </c>
      <c r="I62" s="29">
        <v>13359.982792000001</v>
      </c>
      <c r="J62" s="29"/>
      <c r="K62" s="29">
        <v>738691.25543000002</v>
      </c>
      <c r="L62" s="29">
        <v>233621.45815400002</v>
      </c>
      <c r="M62" s="29">
        <v>163178.31276700002</v>
      </c>
      <c r="N62" s="29">
        <v>77208.698013999994</v>
      </c>
      <c r="O62" s="29">
        <v>57273.154703</v>
      </c>
      <c r="P62" s="29">
        <v>28626.960209000001</v>
      </c>
      <c r="Q62" s="29">
        <v>10181.688532</v>
      </c>
      <c r="R62" s="29"/>
      <c r="S62" s="75">
        <v>202066.44184766174</v>
      </c>
      <c r="T62" s="76">
        <f t="shared" si="13"/>
        <v>2020.6644184766176</v>
      </c>
      <c r="U62" s="76">
        <f t="shared" si="14"/>
        <v>202.06644184766174</v>
      </c>
      <c r="V62" s="76">
        <f t="shared" si="15"/>
        <v>20.206644184766176</v>
      </c>
      <c r="X62" s="33">
        <v>0.35168778151273727</v>
      </c>
      <c r="Y62" s="33">
        <v>0.25362284481525421</v>
      </c>
      <c r="Z62" s="33">
        <v>0.12161429738625884</v>
      </c>
      <c r="AA62" s="33">
        <v>8.8331473059952259E-2</v>
      </c>
      <c r="AB62" s="33">
        <v>4.3475501704961061E-2</v>
      </c>
      <c r="AC62" s="33">
        <v>1.6927252290770411E-2</v>
      </c>
      <c r="AD62" s="33"/>
      <c r="AE62" s="29">
        <f t="shared" si="7"/>
        <v>292639.40299674869</v>
      </c>
      <c r="AF62" s="29">
        <f t="shared" si="8"/>
        <v>211039.56917077303</v>
      </c>
      <c r="AG62" s="29">
        <f t="shared" si="9"/>
        <v>101195.25685510598</v>
      </c>
      <c r="AH62" s="29">
        <f t="shared" si="10"/>
        <v>73500.618733186275</v>
      </c>
      <c r="AI62" s="29">
        <f t="shared" si="11"/>
        <v>36175.964968698099</v>
      </c>
      <c r="AJ62" s="29">
        <f t="shared" si="12"/>
        <v>14085.166631150059</v>
      </c>
    </row>
    <row r="63" spans="1:36" ht="10.5" customHeight="1">
      <c r="A63">
        <f t="shared" si="6"/>
        <v>1969</v>
      </c>
      <c r="B63" s="29">
        <v>899500</v>
      </c>
      <c r="C63" s="29"/>
      <c r="D63" s="29">
        <v>290560.13879499998</v>
      </c>
      <c r="E63" s="29">
        <v>201247.25276900001</v>
      </c>
      <c r="F63" s="29">
        <v>93951.340049000006</v>
      </c>
      <c r="G63" s="29">
        <v>69311.668214000005</v>
      </c>
      <c r="H63" s="29">
        <v>34783.138275999998</v>
      </c>
      <c r="I63" s="29">
        <v>13006.615454000001</v>
      </c>
      <c r="J63" s="29"/>
      <c r="K63" s="29">
        <v>799566.32779000001</v>
      </c>
      <c r="L63" s="29">
        <v>244722.24056979999</v>
      </c>
      <c r="M63" s="29">
        <v>167964.99811079999</v>
      </c>
      <c r="N63" s="29">
        <v>76191.444385800001</v>
      </c>
      <c r="O63" s="29">
        <v>55511.940498800002</v>
      </c>
      <c r="P63" s="29">
        <v>27107.107585800004</v>
      </c>
      <c r="Q63" s="29">
        <v>9938.5715928000009</v>
      </c>
      <c r="R63" s="29"/>
      <c r="S63" s="75">
        <v>203663.4383979963</v>
      </c>
      <c r="T63" s="76">
        <f t="shared" si="13"/>
        <v>2036.6343839799631</v>
      </c>
      <c r="U63" s="76">
        <f t="shared" si="14"/>
        <v>203.66343839799632</v>
      </c>
      <c r="V63" s="76">
        <f t="shared" si="15"/>
        <v>20.366343839799629</v>
      </c>
      <c r="X63" s="33">
        <v>0.34301304630935192</v>
      </c>
      <c r="Y63" s="33">
        <v>0.24455924704670906</v>
      </c>
      <c r="Z63" s="33">
        <v>0.11486729921307415</v>
      </c>
      <c r="AA63" s="33">
        <v>8.3006314234808087E-2</v>
      </c>
      <c r="AB63" s="33">
        <v>4.0794465807266533E-2</v>
      </c>
      <c r="AC63" s="33">
        <v>1.6059009998571128E-2</v>
      </c>
      <c r="AD63" s="33"/>
      <c r="AE63" s="29">
        <f t="shared" si="7"/>
        <v>308540.23515526205</v>
      </c>
      <c r="AF63" s="29">
        <f t="shared" si="8"/>
        <v>219981.0427185148</v>
      </c>
      <c r="AG63" s="29">
        <f t="shared" si="9"/>
        <v>103323.1356421602</v>
      </c>
      <c r="AH63" s="29">
        <f t="shared" si="10"/>
        <v>74664.179654209875</v>
      </c>
      <c r="AI63" s="29">
        <f t="shared" si="11"/>
        <v>36694.621993636247</v>
      </c>
      <c r="AJ63" s="29">
        <f t="shared" si="12"/>
        <v>14445.079493714729</v>
      </c>
    </row>
    <row r="64" spans="1:36" ht="10.5" customHeight="1">
      <c r="A64">
        <f t="shared" si="6"/>
        <v>1970</v>
      </c>
      <c r="B64" s="29">
        <v>940100</v>
      </c>
      <c r="C64" s="29"/>
      <c r="D64" s="29">
        <v>295758.11821799999</v>
      </c>
      <c r="E64" s="29">
        <v>201728.41692400002</v>
      </c>
      <c r="F64" s="29">
        <v>90318.471434000006</v>
      </c>
      <c r="G64" s="29">
        <v>65686.53413700001</v>
      </c>
      <c r="H64" s="29">
        <v>31865.841195000001</v>
      </c>
      <c r="I64" s="29">
        <v>11537.378205000001</v>
      </c>
      <c r="J64" s="29"/>
      <c r="K64" s="29">
        <v>849535.08851999999</v>
      </c>
      <c r="L64" s="29">
        <v>251830.03482649999</v>
      </c>
      <c r="M64" s="29">
        <v>170426.83522749998</v>
      </c>
      <c r="N64" s="29">
        <v>74360.665908499999</v>
      </c>
      <c r="O64" s="29">
        <v>53341.386037499993</v>
      </c>
      <c r="P64" s="29">
        <v>25125.474838499998</v>
      </c>
      <c r="Q64" s="29">
        <v>8933.8098764999995</v>
      </c>
      <c r="R64" s="29"/>
      <c r="S64" s="75">
        <v>201596.405</v>
      </c>
      <c r="T64" s="76">
        <f t="shared" si="13"/>
        <v>2015.96405</v>
      </c>
      <c r="U64" s="76">
        <f t="shared" si="14"/>
        <v>201.596405</v>
      </c>
      <c r="V64" s="76">
        <f t="shared" si="15"/>
        <v>20.159640500000002</v>
      </c>
      <c r="X64" s="33">
        <v>0.34070693654939532</v>
      </c>
      <c r="Y64" s="33">
        <v>0.24093332607299089</v>
      </c>
      <c r="Z64" s="33">
        <v>0.11031635649851523</v>
      </c>
      <c r="AA64" s="33">
        <v>7.8672094095963985E-2</v>
      </c>
      <c r="AB64" s="33">
        <v>3.7412297941045836E-2</v>
      </c>
      <c r="AC64" s="33">
        <v>1.4041914299014024E-2</v>
      </c>
      <c r="AD64" s="33"/>
      <c r="AE64" s="29">
        <f t="shared" si="7"/>
        <v>320298.59105008654</v>
      </c>
      <c r="AF64" s="29">
        <f t="shared" si="8"/>
        <v>226501.41984121874</v>
      </c>
      <c r="AG64" s="29">
        <f t="shared" si="9"/>
        <v>103708.40674425417</v>
      </c>
      <c r="AH64" s="29">
        <f t="shared" si="10"/>
        <v>73959.635659615742</v>
      </c>
      <c r="AI64" s="29">
        <f t="shared" si="11"/>
        <v>35171.30129437719</v>
      </c>
      <c r="AJ64" s="29">
        <f t="shared" si="12"/>
        <v>13200.803632503084</v>
      </c>
    </row>
    <row r="65" spans="1:36" ht="10.5" customHeight="1">
      <c r="A65">
        <f t="shared" si="6"/>
        <v>1971</v>
      </c>
      <c r="B65" s="29">
        <v>1017000</v>
      </c>
      <c r="C65" s="29"/>
      <c r="D65" s="29">
        <v>328277.75726300001</v>
      </c>
      <c r="E65" s="29">
        <v>225106.97348299995</v>
      </c>
      <c r="F65" s="29">
        <v>102411.735533</v>
      </c>
      <c r="G65" s="29">
        <v>75513.413514999993</v>
      </c>
      <c r="H65" s="29">
        <v>37350.692301000003</v>
      </c>
      <c r="I65" s="29">
        <v>13750.088320999999</v>
      </c>
      <c r="J65" s="29"/>
      <c r="K65" s="29">
        <v>922498.96683000005</v>
      </c>
      <c r="L65" s="29">
        <v>278229.62756300002</v>
      </c>
      <c r="M65" s="29">
        <v>189536.86988800002</v>
      </c>
      <c r="N65" s="29">
        <v>84449.821198000005</v>
      </c>
      <c r="O65" s="29">
        <v>61531.312018000004</v>
      </c>
      <c r="P65" s="29">
        <v>29725.453284000003</v>
      </c>
      <c r="Q65" s="29">
        <v>10738.147208</v>
      </c>
      <c r="R65" s="29"/>
      <c r="S65" s="75">
        <v>208778.82238244571</v>
      </c>
      <c r="T65" s="76">
        <f t="shared" si="13"/>
        <v>2087.788223824457</v>
      </c>
      <c r="U65" s="76">
        <f t="shared" si="14"/>
        <v>208.77882238244572</v>
      </c>
      <c r="V65" s="76">
        <f t="shared" si="15"/>
        <v>20.87788223824457</v>
      </c>
      <c r="X65" s="33">
        <v>0.34350644599180669</v>
      </c>
      <c r="Y65" s="33">
        <v>0.24293177505023777</v>
      </c>
      <c r="Z65" s="33">
        <v>0.11071727933449438</v>
      </c>
      <c r="AA65" s="33">
        <v>7.8807802361552604E-2</v>
      </c>
      <c r="AB65" s="33">
        <v>3.7361663074989337E-2</v>
      </c>
      <c r="AC65" s="33">
        <v>1.3915172236011131E-2</v>
      </c>
      <c r="AD65" s="33"/>
      <c r="AE65" s="29">
        <f t="shared" si="7"/>
        <v>349346.0555736674</v>
      </c>
      <c r="AF65" s="29">
        <f t="shared" si="8"/>
        <v>247061.61522609182</v>
      </c>
      <c r="AG65" s="29">
        <f t="shared" si="9"/>
        <v>112599.47308318078</v>
      </c>
      <c r="AH65" s="29">
        <f t="shared" si="10"/>
        <v>80147.535001698998</v>
      </c>
      <c r="AI65" s="29">
        <f t="shared" si="11"/>
        <v>37996.811347264156</v>
      </c>
      <c r="AJ65" s="29">
        <f t="shared" si="12"/>
        <v>14151.73016402332</v>
      </c>
    </row>
    <row r="66" spans="1:36" ht="10.5" customHeight="1">
      <c r="A66">
        <f t="shared" si="6"/>
        <v>1972</v>
      </c>
      <c r="B66" s="29">
        <v>1123000</v>
      </c>
      <c r="C66" s="29"/>
      <c r="D66" s="29">
        <v>362220.70001100004</v>
      </c>
      <c r="E66" s="29">
        <v>249497.150521</v>
      </c>
      <c r="F66" s="29">
        <v>114927.93921099999</v>
      </c>
      <c r="G66" s="29">
        <v>84139.931975999993</v>
      </c>
      <c r="H66" s="29">
        <v>41631.648629000003</v>
      </c>
      <c r="I66" s="29">
        <v>15306.53678</v>
      </c>
      <c r="J66" s="29"/>
      <c r="K66" s="29">
        <v>1018346.6178</v>
      </c>
      <c r="L66" s="29">
        <v>307560.62869299995</v>
      </c>
      <c r="M66" s="29">
        <v>210187.158516</v>
      </c>
      <c r="N66" s="29">
        <v>94724.661835999999</v>
      </c>
      <c r="O66" s="29">
        <v>68517.900133999996</v>
      </c>
      <c r="P66" s="29">
        <v>33045.194149000003</v>
      </c>
      <c r="Q66" s="29">
        <v>12057.602908000001</v>
      </c>
      <c r="R66" s="29"/>
      <c r="S66" s="75">
        <v>207762.77687975508</v>
      </c>
      <c r="T66" s="76">
        <f t="shared" si="13"/>
        <v>2077.6277687975507</v>
      </c>
      <c r="U66" s="76">
        <f t="shared" si="14"/>
        <v>207.76277687975508</v>
      </c>
      <c r="V66" s="76">
        <f t="shared" si="15"/>
        <v>20.776277687975508</v>
      </c>
      <c r="X66" s="33">
        <v>0.34646366300876252</v>
      </c>
      <c r="Y66" s="33">
        <v>0.24510128219844773</v>
      </c>
      <c r="Z66" s="33">
        <v>0.11074916027973813</v>
      </c>
      <c r="AA66" s="33">
        <v>7.860434275426087E-2</v>
      </c>
      <c r="AB66" s="33">
        <v>3.6948133320038323E-2</v>
      </c>
      <c r="AC66" s="33">
        <v>1.359245540061238E-2</v>
      </c>
      <c r="AD66" s="33"/>
      <c r="AE66" s="29">
        <f t="shared" si="7"/>
        <v>389078.69355884031</v>
      </c>
      <c r="AF66" s="29">
        <f t="shared" si="8"/>
        <v>275248.73990885681</v>
      </c>
      <c r="AG66" s="29">
        <f t="shared" si="9"/>
        <v>124371.30699414593</v>
      </c>
      <c r="AH66" s="29">
        <f t="shared" si="10"/>
        <v>88272.676913034957</v>
      </c>
      <c r="AI66" s="29">
        <f t="shared" si="11"/>
        <v>41492.753718403037</v>
      </c>
      <c r="AJ66" s="29">
        <f t="shared" si="12"/>
        <v>15264.327414887703</v>
      </c>
    </row>
    <row r="67" spans="1:36" ht="10.5" customHeight="1">
      <c r="A67">
        <f t="shared" si="6"/>
        <v>1973</v>
      </c>
      <c r="B67" s="29">
        <v>1257000</v>
      </c>
      <c r="C67" s="29"/>
      <c r="D67" s="29">
        <v>402546.67079700006</v>
      </c>
      <c r="E67" s="29">
        <v>277097.908107</v>
      </c>
      <c r="F67" s="29">
        <v>127102.38978700001</v>
      </c>
      <c r="G67" s="29">
        <v>92770.601748999994</v>
      </c>
      <c r="H67" s="29">
        <v>44761.755995</v>
      </c>
      <c r="I67" s="29">
        <v>15785.126941</v>
      </c>
      <c r="J67" s="29"/>
      <c r="K67" s="29">
        <v>1135315.4657999999</v>
      </c>
      <c r="L67" s="29">
        <v>342990.44140099996</v>
      </c>
      <c r="M67" s="29">
        <v>235886.14942100001</v>
      </c>
      <c r="N67" s="29">
        <v>106334.47743100001</v>
      </c>
      <c r="O67" s="29">
        <v>77214.461322999996</v>
      </c>
      <c r="P67" s="29">
        <v>36707.652021999995</v>
      </c>
      <c r="Q67" s="29">
        <v>12874.516807</v>
      </c>
      <c r="R67" s="29"/>
      <c r="S67" s="75">
        <v>211546.4428261568</v>
      </c>
      <c r="T67" s="76">
        <f t="shared" si="13"/>
        <v>2115.4644282615682</v>
      </c>
      <c r="U67" s="76">
        <f t="shared" si="14"/>
        <v>211.54644282615681</v>
      </c>
      <c r="V67" s="76">
        <f t="shared" si="15"/>
        <v>21.154644282615681</v>
      </c>
      <c r="X67" s="33">
        <v>0.34652509108855156</v>
      </c>
      <c r="Y67" s="33">
        <v>0.24490284775674809</v>
      </c>
      <c r="Z67" s="33">
        <v>0.10908995879935901</v>
      </c>
      <c r="AA67" s="33">
        <v>7.6849988280628168E-2</v>
      </c>
      <c r="AB67" s="33">
        <v>3.5255917362974287E-2</v>
      </c>
      <c r="AC67" s="33">
        <v>1.2344456243909008E-2</v>
      </c>
      <c r="AD67" s="33"/>
      <c r="AE67" s="29">
        <f t="shared" si="7"/>
        <v>435582.03949830931</v>
      </c>
      <c r="AF67" s="29">
        <f t="shared" si="8"/>
        <v>307842.87963023235</v>
      </c>
      <c r="AG67" s="29">
        <f t="shared" si="9"/>
        <v>137126.07821079428</v>
      </c>
      <c r="AH67" s="29">
        <f t="shared" si="10"/>
        <v>96600.435268749599</v>
      </c>
      <c r="AI67" s="29">
        <f t="shared" si="11"/>
        <v>44316.688125258675</v>
      </c>
      <c r="AJ67" s="29">
        <f t="shared" si="12"/>
        <v>15516.981498593623</v>
      </c>
    </row>
    <row r="68" spans="1:36" ht="10.5" customHeight="1">
      <c r="A68">
        <f t="shared" si="6"/>
        <v>1974</v>
      </c>
      <c r="B68" s="29">
        <v>1350800</v>
      </c>
      <c r="C68" s="29"/>
      <c r="D68" s="29">
        <v>433299.25816700002</v>
      </c>
      <c r="E68" s="29">
        <v>296567.32883699995</v>
      </c>
      <c r="F68" s="29">
        <v>132833.44225700002</v>
      </c>
      <c r="G68" s="29">
        <v>95877.321985999995</v>
      </c>
      <c r="H68" s="29">
        <v>45883.413647000001</v>
      </c>
      <c r="I68" s="29">
        <v>15888.966270999999</v>
      </c>
      <c r="J68" s="29"/>
      <c r="K68" s="29">
        <v>1230490.2316999999</v>
      </c>
      <c r="L68" s="29">
        <v>371979.28637300001</v>
      </c>
      <c r="M68" s="29">
        <v>255597.03858299996</v>
      </c>
      <c r="N68" s="29">
        <v>114333.779453</v>
      </c>
      <c r="O68" s="29">
        <v>82074.133661</v>
      </c>
      <c r="P68" s="29">
        <v>38960.834375999999</v>
      </c>
      <c r="Q68" s="29">
        <v>13472.954936</v>
      </c>
      <c r="R68" s="29"/>
      <c r="S68" s="75">
        <v>214638.82353930624</v>
      </c>
      <c r="T68" s="76">
        <f t="shared" si="13"/>
        <v>2146.3882353930626</v>
      </c>
      <c r="U68" s="76">
        <f t="shared" si="14"/>
        <v>214.63882353930623</v>
      </c>
      <c r="V68" s="76">
        <f t="shared" si="15"/>
        <v>21.463882353930625</v>
      </c>
      <c r="X68" s="33">
        <v>0.34283079657870985</v>
      </c>
      <c r="Y68" s="33">
        <v>0.24083194100603578</v>
      </c>
      <c r="Z68" s="33">
        <v>0.10641923065793435</v>
      </c>
      <c r="AA68" s="33">
        <v>7.4646921500288954E-2</v>
      </c>
      <c r="AB68" s="33">
        <v>3.3775632506262809E-2</v>
      </c>
      <c r="AC68" s="33">
        <v>1.1451058546924742E-2</v>
      </c>
      <c r="AD68" s="33"/>
      <c r="AE68" s="29">
        <f t="shared" si="7"/>
        <v>463095.8400185213</v>
      </c>
      <c r="AF68" s="29">
        <f t="shared" si="8"/>
        <v>325315.78591095313</v>
      </c>
      <c r="AG68" s="29">
        <f t="shared" si="9"/>
        <v>143751.09677273771</v>
      </c>
      <c r="AH68" s="29">
        <f t="shared" si="10"/>
        <v>100833.06156259032</v>
      </c>
      <c r="AI68" s="29">
        <f t="shared" si="11"/>
        <v>45624.124389459801</v>
      </c>
      <c r="AJ68" s="29">
        <f t="shared" si="12"/>
        <v>15468.089885185942</v>
      </c>
    </row>
    <row r="69" spans="1:36" ht="10.5" customHeight="1">
      <c r="A69">
        <f t="shared" si="6"/>
        <v>1975</v>
      </c>
      <c r="B69" s="29">
        <v>1451100</v>
      </c>
      <c r="C69" s="29"/>
      <c r="D69" s="29">
        <v>464892.30597299995</v>
      </c>
      <c r="E69" s="29">
        <v>316373.87698300002</v>
      </c>
      <c r="F69" s="29">
        <v>140760.55409300001</v>
      </c>
      <c r="G69" s="29">
        <v>101299.25513999999</v>
      </c>
      <c r="H69" s="29">
        <v>47657.873116999996</v>
      </c>
      <c r="I69" s="29">
        <v>16901.312355999999</v>
      </c>
      <c r="J69" s="29"/>
      <c r="K69" s="29">
        <v>1352467.7947</v>
      </c>
      <c r="L69" s="29">
        <v>401709.943302</v>
      </c>
      <c r="M69" s="29">
        <v>273953.48411199998</v>
      </c>
      <c r="N69" s="29">
        <v>121338.65775200001</v>
      </c>
      <c r="O69" s="29">
        <v>87176.295945999998</v>
      </c>
      <c r="P69" s="29">
        <v>40594.700433000005</v>
      </c>
      <c r="Q69" s="29">
        <v>14199.570389</v>
      </c>
      <c r="R69" s="29"/>
      <c r="S69" s="75">
        <v>214569.70674880844</v>
      </c>
      <c r="T69" s="76">
        <f t="shared" si="13"/>
        <v>2145.6970674880845</v>
      </c>
      <c r="U69" s="76">
        <f t="shared" si="14"/>
        <v>214.56970674880844</v>
      </c>
      <c r="V69" s="76">
        <f t="shared" si="15"/>
        <v>21.456970674880846</v>
      </c>
      <c r="X69" s="33">
        <v>0.34334698804696018</v>
      </c>
      <c r="Y69" s="33">
        <v>0.24019894739922165</v>
      </c>
      <c r="Z69" s="33">
        <v>0.10543441093417982</v>
      </c>
      <c r="AA69" s="33">
        <v>7.3732505004784343E-2</v>
      </c>
      <c r="AB69" s="33">
        <v>3.325937996945072E-2</v>
      </c>
      <c r="AC69" s="33">
        <v>1.1389506862244048E-2</v>
      </c>
      <c r="AD69" s="33"/>
      <c r="AE69" s="29">
        <f t="shared" si="7"/>
        <v>498230.81435494393</v>
      </c>
      <c r="AF69" s="29">
        <f t="shared" si="8"/>
        <v>348552.69257101056</v>
      </c>
      <c r="AG69" s="29">
        <f t="shared" si="9"/>
        <v>152995.87370658835</v>
      </c>
      <c r="AH69" s="29">
        <f t="shared" si="10"/>
        <v>106993.23801244255</v>
      </c>
      <c r="AI69" s="29">
        <f t="shared" si="11"/>
        <v>48262.68627366994</v>
      </c>
      <c r="AJ69" s="29">
        <f t="shared" si="12"/>
        <v>16527.313407802336</v>
      </c>
    </row>
    <row r="70" spans="1:36" ht="10.5" customHeight="1">
      <c r="A70">
        <f t="shared" si="6"/>
        <v>1976</v>
      </c>
      <c r="B70" s="29">
        <v>1614800</v>
      </c>
      <c r="C70" s="29"/>
      <c r="D70" s="29">
        <v>517316.50373100006</v>
      </c>
      <c r="E70" s="29">
        <v>351903.95475100004</v>
      </c>
      <c r="F70" s="29">
        <v>157874.007931</v>
      </c>
      <c r="G70" s="29">
        <v>114515.098063</v>
      </c>
      <c r="H70" s="29">
        <v>55031.376224</v>
      </c>
      <c r="I70" s="29">
        <v>19715.365009000001</v>
      </c>
      <c r="J70" s="29"/>
      <c r="K70" s="29">
        <v>1494991.0544</v>
      </c>
      <c r="L70" s="29">
        <v>443827.19765999995</v>
      </c>
      <c r="M70" s="29">
        <v>302107.49491000001</v>
      </c>
      <c r="N70" s="29">
        <v>135110.04866</v>
      </c>
      <c r="O70" s="29">
        <v>97283.520186999987</v>
      </c>
      <c r="P70" s="29">
        <v>46225.667388000002</v>
      </c>
      <c r="Q70" s="29">
        <v>16373.9331</v>
      </c>
      <c r="R70" s="29"/>
      <c r="S70" s="75">
        <v>217341.18312025352</v>
      </c>
      <c r="T70" s="76">
        <f t="shared" si="13"/>
        <v>2173.4118312025353</v>
      </c>
      <c r="U70" s="76">
        <f t="shared" si="14"/>
        <v>217.34118312025353</v>
      </c>
      <c r="V70" s="76">
        <f t="shared" si="15"/>
        <v>21.734118312025352</v>
      </c>
      <c r="X70" s="33">
        <v>0.34402709575613244</v>
      </c>
      <c r="Y70" s="33">
        <v>0.24041148831679493</v>
      </c>
      <c r="Z70" s="33">
        <v>0.10517377422862495</v>
      </c>
      <c r="AA70" s="33">
        <v>7.3550290058349788E-2</v>
      </c>
      <c r="AB70" s="33">
        <v>3.3201666389011564E-2</v>
      </c>
      <c r="AC70" s="33">
        <v>1.1549088375812033E-2</v>
      </c>
      <c r="AD70" s="33"/>
      <c r="AE70" s="29">
        <f t="shared" si="7"/>
        <v>555534.95422700269</v>
      </c>
      <c r="AF70" s="29">
        <f t="shared" si="8"/>
        <v>388216.47133396048</v>
      </c>
      <c r="AG70" s="29">
        <f t="shared" si="9"/>
        <v>169834.61062438358</v>
      </c>
      <c r="AH70" s="29">
        <f t="shared" si="10"/>
        <v>118769.00838622324</v>
      </c>
      <c r="AI70" s="29">
        <f t="shared" si="11"/>
        <v>53614.05088497587</v>
      </c>
      <c r="AJ70" s="29">
        <f t="shared" si="12"/>
        <v>18649.467909261271</v>
      </c>
    </row>
    <row r="71" spans="1:36" ht="10.5" customHeight="1">
      <c r="A71">
        <f t="shared" si="6"/>
        <v>1977</v>
      </c>
      <c r="B71" s="29">
        <v>1798700</v>
      </c>
      <c r="C71" s="29"/>
      <c r="D71" s="29">
        <v>575675.207911</v>
      </c>
      <c r="E71" s="29">
        <v>393703.68777099997</v>
      </c>
      <c r="F71" s="29">
        <v>177998.24042099999</v>
      </c>
      <c r="G71" s="29">
        <v>129240.540899</v>
      </c>
      <c r="H71" s="29">
        <v>62097.820514999999</v>
      </c>
      <c r="I71" s="29">
        <v>22376.553134000002</v>
      </c>
      <c r="J71" s="29"/>
      <c r="K71" s="29">
        <v>1655546.7986000001</v>
      </c>
      <c r="L71" s="29">
        <v>496105.16904100002</v>
      </c>
      <c r="M71" s="29">
        <v>340441.47167100001</v>
      </c>
      <c r="N71" s="29">
        <v>154280.13477100001</v>
      </c>
      <c r="O71" s="29">
        <v>111505.53191600001</v>
      </c>
      <c r="P71" s="29">
        <v>53164.934091999996</v>
      </c>
      <c r="Q71" s="29">
        <v>19015.899614999998</v>
      </c>
      <c r="R71" s="29"/>
      <c r="S71" s="75">
        <v>216488.56781218035</v>
      </c>
      <c r="T71" s="76">
        <f t="shared" si="13"/>
        <v>2164.8856781218037</v>
      </c>
      <c r="U71" s="76">
        <f t="shared" si="14"/>
        <v>216.48856781218035</v>
      </c>
      <c r="V71" s="76">
        <f t="shared" si="15"/>
        <v>21.648856781218036</v>
      </c>
      <c r="X71" s="33">
        <v>0.34629221104611929</v>
      </c>
      <c r="Y71" s="33">
        <v>0.24257536185342587</v>
      </c>
      <c r="Z71" s="33">
        <v>0.10652702119602075</v>
      </c>
      <c r="AA71" s="33">
        <v>7.4794629263454482E-2</v>
      </c>
      <c r="AB71" s="33">
        <v>3.3997944050556228E-2</v>
      </c>
      <c r="AC71" s="33">
        <v>1.1894004703076E-2</v>
      </c>
      <c r="AD71" s="33"/>
      <c r="AE71" s="29">
        <f t="shared" ref="AE71:AE102" si="16">X71*$B71</f>
        <v>622875.80000865483</v>
      </c>
      <c r="AF71" s="29">
        <f t="shared" ref="AF71:AF102" si="17">Y71*$B71</f>
        <v>436320.30336575711</v>
      </c>
      <c r="AG71" s="29">
        <f t="shared" ref="AG71:AG102" si="18">Z71*$B71</f>
        <v>191610.15302528252</v>
      </c>
      <c r="AH71" s="29">
        <f t="shared" ref="AH71:AH102" si="19">AA71*$B71</f>
        <v>134533.09965617559</v>
      </c>
      <c r="AI71" s="29">
        <f t="shared" ref="AI71:AI102" si="20">AB71*$B71</f>
        <v>61152.101963735484</v>
      </c>
      <c r="AJ71" s="29">
        <f t="shared" ref="AJ71:AJ102" si="21">AC71*$B71</f>
        <v>21393.746259422802</v>
      </c>
    </row>
    <row r="72" spans="1:36" ht="10.5" customHeight="1">
      <c r="A72">
        <f t="shared" si="6"/>
        <v>1978</v>
      </c>
      <c r="B72" s="29">
        <v>2029900</v>
      </c>
      <c r="C72" s="29"/>
      <c r="D72" s="29">
        <v>647668.18989599997</v>
      </c>
      <c r="E72" s="29">
        <v>440984.21608599997</v>
      </c>
      <c r="F72" s="29">
        <v>198333.66779599999</v>
      </c>
      <c r="G72" s="29">
        <v>144260.98137699999</v>
      </c>
      <c r="H72" s="29">
        <v>69789.178354999996</v>
      </c>
      <c r="I72" s="29">
        <v>24864.868718000002</v>
      </c>
      <c r="J72" s="29"/>
      <c r="K72" s="29">
        <v>1864783.0803</v>
      </c>
      <c r="L72" s="29">
        <v>561648.57759100012</v>
      </c>
      <c r="M72" s="29">
        <v>384380.53537100001</v>
      </c>
      <c r="N72" s="29">
        <v>173741.81887100002</v>
      </c>
      <c r="O72" s="29">
        <v>126064.88349199999</v>
      </c>
      <c r="P72" s="29">
        <v>60968.377768999999</v>
      </c>
      <c r="Q72" s="29">
        <v>21435.033077</v>
      </c>
      <c r="R72" s="29"/>
      <c r="S72" s="75">
        <v>219590.32881160971</v>
      </c>
      <c r="T72" s="76">
        <f t="shared" si="13"/>
        <v>2195.903288116097</v>
      </c>
      <c r="U72" s="76">
        <f t="shared" si="14"/>
        <v>219.59032881160971</v>
      </c>
      <c r="V72" s="76">
        <f t="shared" si="15"/>
        <v>21.959032881160972</v>
      </c>
      <c r="X72" s="33">
        <v>0.34687953775880231</v>
      </c>
      <c r="Y72" s="33">
        <v>0.24320377025146911</v>
      </c>
      <c r="Z72" s="33">
        <v>0.10755455448392359</v>
      </c>
      <c r="AA72" s="33">
        <v>7.6050917070998203E-2</v>
      </c>
      <c r="AB72" s="33">
        <v>3.5131189612926494E-2</v>
      </c>
      <c r="AC72" s="33">
        <v>1.2482565665744572E-2</v>
      </c>
      <c r="AD72" s="33"/>
      <c r="AE72" s="29">
        <f t="shared" si="16"/>
        <v>704130.77369659278</v>
      </c>
      <c r="AF72" s="29">
        <f t="shared" si="17"/>
        <v>493679.33323345712</v>
      </c>
      <c r="AG72" s="29">
        <f t="shared" si="18"/>
        <v>218324.99014691651</v>
      </c>
      <c r="AH72" s="29">
        <f t="shared" si="19"/>
        <v>154375.75656241926</v>
      </c>
      <c r="AI72" s="29">
        <f t="shared" si="20"/>
        <v>71312.801795279491</v>
      </c>
      <c r="AJ72" s="29">
        <f t="shared" si="21"/>
        <v>25338.360044894907</v>
      </c>
    </row>
    <row r="73" spans="1:36" ht="10.5" customHeight="1">
      <c r="A73">
        <f t="shared" ref="A73:A109" si="22">A72+1</f>
        <v>1979</v>
      </c>
      <c r="B73" s="29">
        <v>2248200</v>
      </c>
      <c r="C73" s="29"/>
      <c r="D73" s="29">
        <v>725616.39002000005</v>
      </c>
      <c r="E73" s="29">
        <v>497583.81563000003</v>
      </c>
      <c r="F73" s="29">
        <v>226701.1275</v>
      </c>
      <c r="G73" s="29">
        <v>165692.05169300002</v>
      </c>
      <c r="H73" s="29">
        <v>81473.479238</v>
      </c>
      <c r="I73" s="29">
        <v>30057.935788999999</v>
      </c>
      <c r="J73" s="29"/>
      <c r="K73" s="29">
        <v>2073627.9541</v>
      </c>
      <c r="L73" s="29">
        <v>630572.825449</v>
      </c>
      <c r="M73" s="29">
        <v>435747.76802900003</v>
      </c>
      <c r="N73" s="29">
        <v>200328.259769</v>
      </c>
      <c r="O73" s="29">
        <v>146377.00526200002</v>
      </c>
      <c r="P73" s="29">
        <v>71500.855836000002</v>
      </c>
      <c r="Q73" s="29">
        <v>26196.792992999999</v>
      </c>
      <c r="R73" s="29"/>
      <c r="S73" s="75">
        <v>224079.22504009269</v>
      </c>
      <c r="T73" s="76">
        <f t="shared" si="13"/>
        <v>2240.7922504009271</v>
      </c>
      <c r="U73" s="76">
        <f t="shared" si="14"/>
        <v>224.07922504009269</v>
      </c>
      <c r="V73" s="76">
        <f t="shared" si="15"/>
        <v>22.407922504009271</v>
      </c>
      <c r="X73" s="33">
        <v>0.34868171811103821</v>
      </c>
      <c r="Y73" s="33">
        <v>0.24627181887626648</v>
      </c>
      <c r="Z73" s="33">
        <v>0.11142588406801224</v>
      </c>
      <c r="AA73" s="33">
        <v>7.9954266548156738E-2</v>
      </c>
      <c r="AB73" s="33">
        <v>3.8528375327587128E-2</v>
      </c>
      <c r="AC73" s="33">
        <v>1.4688321389257908E-2</v>
      </c>
      <c r="AD73" s="33"/>
      <c r="AE73" s="29">
        <f t="shared" si="16"/>
        <v>783906.2386572361</v>
      </c>
      <c r="AF73" s="29">
        <f t="shared" si="17"/>
        <v>553668.3031976223</v>
      </c>
      <c r="AG73" s="29">
        <f t="shared" si="18"/>
        <v>250507.67256170511</v>
      </c>
      <c r="AH73" s="29">
        <f t="shared" si="19"/>
        <v>179753.18205356598</v>
      </c>
      <c r="AI73" s="29">
        <f t="shared" si="20"/>
        <v>86619.49341148138</v>
      </c>
      <c r="AJ73" s="29">
        <f t="shared" si="21"/>
        <v>33022.284147329628</v>
      </c>
    </row>
    <row r="74" spans="1:36" ht="10.5" customHeight="1">
      <c r="A74">
        <f t="shared" si="22"/>
        <v>1980</v>
      </c>
      <c r="B74" s="29">
        <v>2426800</v>
      </c>
      <c r="C74" s="29"/>
      <c r="D74" s="29">
        <v>782147.26084699994</v>
      </c>
      <c r="E74" s="29">
        <v>531276.39708700008</v>
      </c>
      <c r="F74" s="29">
        <v>235026.62982699997</v>
      </c>
      <c r="G74" s="29">
        <v>169278.088957</v>
      </c>
      <c r="H74" s="29">
        <v>81223.708811000004</v>
      </c>
      <c r="I74" s="29">
        <v>29289.207684000001</v>
      </c>
      <c r="J74" s="29"/>
      <c r="K74" s="29">
        <v>2266970.4396000002</v>
      </c>
      <c r="L74" s="29">
        <v>680483.07557700004</v>
      </c>
      <c r="M74" s="29">
        <v>464937.77239699994</v>
      </c>
      <c r="N74" s="29">
        <v>207124.98796699999</v>
      </c>
      <c r="O74" s="29">
        <v>148748.556117</v>
      </c>
      <c r="P74" s="29">
        <v>71020.519268000004</v>
      </c>
      <c r="Q74" s="29">
        <v>25332.044732999999</v>
      </c>
      <c r="R74" s="29"/>
      <c r="S74" s="75">
        <v>228157.48309500003</v>
      </c>
      <c r="T74" s="76">
        <f t="shared" si="13"/>
        <v>2281.5748309500004</v>
      </c>
      <c r="U74" s="76">
        <f t="shared" si="14"/>
        <v>228.15748309500003</v>
      </c>
      <c r="V74" s="76">
        <f t="shared" si="15"/>
        <v>22.815748309500005</v>
      </c>
      <c r="X74" s="33">
        <v>0.34221145510673523</v>
      </c>
      <c r="Y74" s="33">
        <v>0.23885037004947662</v>
      </c>
      <c r="Z74" s="33">
        <v>0.10655814409255981</v>
      </c>
      <c r="AA74" s="33">
        <v>7.5862787663936615E-2</v>
      </c>
      <c r="AB74" s="33">
        <v>3.5611771047115326E-2</v>
      </c>
      <c r="AC74" s="33">
        <v>1.2644974514842033E-2</v>
      </c>
      <c r="AD74" s="33"/>
      <c r="AE74" s="29">
        <f t="shared" si="16"/>
        <v>830478.75925302505</v>
      </c>
      <c r="AF74" s="29">
        <f t="shared" si="17"/>
        <v>579642.07803606987</v>
      </c>
      <c r="AG74" s="29">
        <f t="shared" si="18"/>
        <v>258595.30408382416</v>
      </c>
      <c r="AH74" s="29">
        <f t="shared" si="19"/>
        <v>184103.81310284138</v>
      </c>
      <c r="AI74" s="29">
        <f t="shared" si="20"/>
        <v>86422.645977139473</v>
      </c>
      <c r="AJ74" s="29">
        <f t="shared" si="21"/>
        <v>30686.824152618647</v>
      </c>
    </row>
    <row r="75" spans="1:36" ht="10.5" customHeight="1">
      <c r="A75">
        <f t="shared" si="22"/>
        <v>1981</v>
      </c>
      <c r="B75" s="29">
        <v>2722100</v>
      </c>
      <c r="C75" s="29"/>
      <c r="D75" s="29">
        <v>870390.09315799992</v>
      </c>
      <c r="E75" s="29">
        <v>588880.67824799998</v>
      </c>
      <c r="F75" s="29">
        <v>254333.66912799998</v>
      </c>
      <c r="G75" s="29">
        <v>181823.86872799997</v>
      </c>
      <c r="H75" s="29">
        <v>86651.531495000003</v>
      </c>
      <c r="I75" s="29">
        <v>30960.809466999999</v>
      </c>
      <c r="J75" s="29"/>
      <c r="K75" s="29">
        <v>2540204.3350999998</v>
      </c>
      <c r="L75" s="29">
        <v>761269.14288300008</v>
      </c>
      <c r="M75" s="29">
        <v>518897.03788299992</v>
      </c>
      <c r="N75" s="29">
        <v>227353.359123</v>
      </c>
      <c r="O75" s="29">
        <v>162656.29547899999</v>
      </c>
      <c r="P75" s="29">
        <v>77206.151075999995</v>
      </c>
      <c r="Q75" s="29">
        <v>27392.956447</v>
      </c>
      <c r="R75" s="29"/>
      <c r="S75" s="75">
        <v>229830.58696077392</v>
      </c>
      <c r="T75" s="76">
        <f t="shared" si="13"/>
        <v>2298.3058696077392</v>
      </c>
      <c r="U75" s="76">
        <f t="shared" si="14"/>
        <v>229.83058696077393</v>
      </c>
      <c r="V75" s="76">
        <f t="shared" si="15"/>
        <v>22.983058696077393</v>
      </c>
      <c r="X75" s="33">
        <v>0.34700208902359009</v>
      </c>
      <c r="Y75" s="33">
        <v>0.24330021440982819</v>
      </c>
      <c r="Z75" s="33">
        <v>0.11035243421792984</v>
      </c>
      <c r="AA75" s="33">
        <v>7.9633072018623352E-2</v>
      </c>
      <c r="AB75" s="33">
        <v>3.8387976586818695E-2</v>
      </c>
      <c r="AC75" s="33">
        <v>1.3968084007501602E-2</v>
      </c>
      <c r="AD75" s="33"/>
      <c r="AE75" s="29">
        <f t="shared" si="16"/>
        <v>944574.38653111458</v>
      </c>
      <c r="AF75" s="29">
        <f t="shared" si="17"/>
        <v>662287.51364499331</v>
      </c>
      <c r="AG75" s="29">
        <f t="shared" si="18"/>
        <v>300390.36118462682</v>
      </c>
      <c r="AH75" s="29">
        <f t="shared" si="19"/>
        <v>216769.18534189463</v>
      </c>
      <c r="AI75" s="29">
        <f t="shared" si="20"/>
        <v>104495.91106697917</v>
      </c>
      <c r="AJ75" s="29">
        <f t="shared" si="21"/>
        <v>38022.521476820111</v>
      </c>
    </row>
    <row r="76" spans="1:36" ht="10.5" customHeight="1">
      <c r="A76">
        <f t="shared" si="22"/>
        <v>1982</v>
      </c>
      <c r="B76" s="29">
        <v>2840400</v>
      </c>
      <c r="C76" s="29"/>
      <c r="D76" s="29">
        <v>918517.39285199996</v>
      </c>
      <c r="E76" s="29">
        <v>615739.06977199996</v>
      </c>
      <c r="F76" s="29">
        <v>267360.72554199997</v>
      </c>
      <c r="G76" s="29">
        <v>192871.90305199998</v>
      </c>
      <c r="H76" s="29">
        <v>94360.074775000001</v>
      </c>
      <c r="I76" s="29">
        <v>34427.946859000003</v>
      </c>
      <c r="J76" s="29"/>
      <c r="K76" s="29">
        <v>2694909.4619999998</v>
      </c>
      <c r="L76" s="29">
        <v>811094.20036200003</v>
      </c>
      <c r="M76" s="29">
        <v>548587.14169199998</v>
      </c>
      <c r="N76" s="29">
        <v>242323.315432</v>
      </c>
      <c r="O76" s="29">
        <v>174869.055436</v>
      </c>
      <c r="P76" s="29">
        <v>85010.944709999996</v>
      </c>
      <c r="Q76" s="29">
        <v>30910.813391</v>
      </c>
      <c r="R76" s="29"/>
      <c r="S76" s="75">
        <v>231801.23945745535</v>
      </c>
      <c r="T76" s="76">
        <f t="shared" si="13"/>
        <v>2318.0123945745536</v>
      </c>
      <c r="U76" s="76">
        <f t="shared" si="14"/>
        <v>231.80123945745535</v>
      </c>
      <c r="V76" s="76">
        <f t="shared" si="15"/>
        <v>23.180123945745535</v>
      </c>
      <c r="X76" s="33">
        <v>0.34876096248626709</v>
      </c>
      <c r="Y76" s="33">
        <v>0.24483746290206909</v>
      </c>
      <c r="Z76" s="33">
        <v>0.11248534917831421</v>
      </c>
      <c r="AA76" s="33">
        <v>8.2097329199314117E-2</v>
      </c>
      <c r="AB76" s="33">
        <v>4.0785610675811768E-2</v>
      </c>
      <c r="AC76" s="33">
        <v>1.4951223507523537E-2</v>
      </c>
      <c r="AD76" s="33"/>
      <c r="AE76" s="29">
        <f t="shared" si="16"/>
        <v>990620.63784599304</v>
      </c>
      <c r="AF76" s="29">
        <f t="shared" si="17"/>
        <v>695436.32962703705</v>
      </c>
      <c r="AG76" s="29">
        <f t="shared" si="18"/>
        <v>319503.38580608368</v>
      </c>
      <c r="AH76" s="29">
        <f t="shared" si="19"/>
        <v>233189.25385773182</v>
      </c>
      <c r="AI76" s="29">
        <f t="shared" si="20"/>
        <v>115847.44856357574</v>
      </c>
      <c r="AJ76" s="29">
        <f t="shared" si="21"/>
        <v>42467.455250769854</v>
      </c>
    </row>
    <row r="77" spans="1:36" ht="10.5" customHeight="1">
      <c r="A77">
        <f t="shared" si="22"/>
        <v>1983</v>
      </c>
      <c r="B77" s="29">
        <v>3060500</v>
      </c>
      <c r="C77" s="29"/>
      <c r="D77" s="29">
        <v>994940.81181300001</v>
      </c>
      <c r="E77" s="29">
        <v>671234.38742300007</v>
      </c>
      <c r="F77" s="29">
        <v>292036.80133300001</v>
      </c>
      <c r="G77" s="29">
        <v>211267.53482999999</v>
      </c>
      <c r="H77" s="29">
        <v>103569.54015</v>
      </c>
      <c r="I77" s="29">
        <v>38712.204848000001</v>
      </c>
      <c r="J77" s="29"/>
      <c r="K77" s="29">
        <v>2895584.8155</v>
      </c>
      <c r="L77" s="29">
        <v>873114.94895900006</v>
      </c>
      <c r="M77" s="29">
        <v>593752.20951900003</v>
      </c>
      <c r="N77" s="29">
        <v>263973.82519900001</v>
      </c>
      <c r="O77" s="29">
        <v>190877.52107100002</v>
      </c>
      <c r="P77" s="29">
        <v>93484.191305999993</v>
      </c>
      <c r="Q77" s="29">
        <v>34779.998281</v>
      </c>
      <c r="R77" s="29"/>
      <c r="S77" s="75">
        <v>233752.13581434626</v>
      </c>
      <c r="T77" s="76">
        <f t="shared" si="13"/>
        <v>2337.5213581434627</v>
      </c>
      <c r="U77" s="76">
        <f t="shared" si="14"/>
        <v>233.75213581434627</v>
      </c>
      <c r="V77" s="76">
        <f t="shared" si="15"/>
        <v>23.375213581434625</v>
      </c>
      <c r="X77" s="33">
        <v>0.35391023755073547</v>
      </c>
      <c r="Y77" s="33">
        <v>0.24823307991027832</v>
      </c>
      <c r="Z77" s="33">
        <v>0.11494305729866028</v>
      </c>
      <c r="AA77" s="33">
        <v>8.3788126707077026E-2</v>
      </c>
      <c r="AB77" s="33">
        <v>4.1271280497312546E-2</v>
      </c>
      <c r="AC77" s="33">
        <v>1.4970654621720314E-2</v>
      </c>
      <c r="AD77" s="33"/>
      <c r="AE77" s="29">
        <f t="shared" si="16"/>
        <v>1083142.2820240259</v>
      </c>
      <c r="AF77" s="29">
        <f t="shared" si="17"/>
        <v>759717.3410654068</v>
      </c>
      <c r="AG77" s="29">
        <f t="shared" si="18"/>
        <v>351783.22686254978</v>
      </c>
      <c r="AH77" s="29">
        <f t="shared" si="19"/>
        <v>256433.56178700924</v>
      </c>
      <c r="AI77" s="29">
        <f t="shared" si="20"/>
        <v>126310.75396202505</v>
      </c>
      <c r="AJ77" s="29">
        <f t="shared" si="21"/>
        <v>45817.688469775021</v>
      </c>
    </row>
    <row r="78" spans="1:36" ht="10.5" customHeight="1">
      <c r="A78">
        <f t="shared" si="22"/>
        <v>1984</v>
      </c>
      <c r="B78" s="29">
        <v>3444000</v>
      </c>
      <c r="C78" s="29"/>
      <c r="D78" s="29">
        <v>1127328.008318</v>
      </c>
      <c r="E78" s="29">
        <v>766990.39792799996</v>
      </c>
      <c r="F78" s="29">
        <v>344430.10638800001</v>
      </c>
      <c r="G78" s="29">
        <v>250603.010733</v>
      </c>
      <c r="H78" s="29">
        <v>125201.548893</v>
      </c>
      <c r="I78" s="29">
        <v>48049.527095999998</v>
      </c>
      <c r="J78" s="29"/>
      <c r="K78" s="29">
        <v>3218925.59</v>
      </c>
      <c r="L78" s="29">
        <v>992082.43330599996</v>
      </c>
      <c r="M78" s="29">
        <v>682060.25104600005</v>
      </c>
      <c r="N78" s="29">
        <v>313957.49026600004</v>
      </c>
      <c r="O78" s="29">
        <v>228827.78569400002</v>
      </c>
      <c r="P78" s="29">
        <v>113572.17402400001</v>
      </c>
      <c r="Q78" s="29">
        <v>43685.831641999997</v>
      </c>
      <c r="R78" s="29"/>
      <c r="S78" s="75">
        <v>237262.57854994581</v>
      </c>
      <c r="T78" s="76">
        <f t="shared" si="13"/>
        <v>2372.6257854994583</v>
      </c>
      <c r="U78" s="76">
        <f t="shared" si="14"/>
        <v>237.26257854994583</v>
      </c>
      <c r="V78" s="76">
        <f t="shared" si="15"/>
        <v>23.726257854994582</v>
      </c>
      <c r="X78" s="33">
        <v>0.36632689833641052</v>
      </c>
      <c r="Y78" s="33">
        <v>0.26087197661399841</v>
      </c>
      <c r="Z78" s="33">
        <v>0.12479672580957413</v>
      </c>
      <c r="AA78" s="33">
        <v>9.2439629137516022E-2</v>
      </c>
      <c r="AB78" s="33">
        <v>4.7220133244991302E-2</v>
      </c>
      <c r="AC78" s="33">
        <v>1.7493043094873428E-2</v>
      </c>
      <c r="AD78" s="33"/>
      <c r="AE78" s="29">
        <f t="shared" si="16"/>
        <v>1261629.8378705978</v>
      </c>
      <c r="AF78" s="29">
        <f t="shared" si="17"/>
        <v>898443.08745861053</v>
      </c>
      <c r="AG78" s="29">
        <f t="shared" si="18"/>
        <v>429799.92368817329</v>
      </c>
      <c r="AH78" s="29">
        <f t="shared" si="19"/>
        <v>318362.08274960518</v>
      </c>
      <c r="AI78" s="29">
        <f t="shared" si="20"/>
        <v>162626.13889575005</v>
      </c>
      <c r="AJ78" s="29">
        <f t="shared" si="21"/>
        <v>60246.040418744087</v>
      </c>
    </row>
    <row r="79" spans="1:36" ht="10.5" customHeight="1">
      <c r="A79">
        <f t="shared" si="22"/>
        <v>1985</v>
      </c>
      <c r="B79" s="29">
        <v>3684200</v>
      </c>
      <c r="C79" s="29"/>
      <c r="D79" s="29">
        <v>1203977.656834</v>
      </c>
      <c r="E79" s="29">
        <v>818749.94781400007</v>
      </c>
      <c r="F79" s="29">
        <v>366871.76951399999</v>
      </c>
      <c r="G79" s="29">
        <v>269806.76614199998</v>
      </c>
      <c r="H79" s="29">
        <v>137864.77559199999</v>
      </c>
      <c r="I79" s="29">
        <v>50502.479698000003</v>
      </c>
      <c r="J79" s="29"/>
      <c r="K79" s="29">
        <v>3439883.8273</v>
      </c>
      <c r="L79" s="29">
        <v>1062378.7190079999</v>
      </c>
      <c r="M79" s="29">
        <v>729664.26476799999</v>
      </c>
      <c r="N79" s="29">
        <v>334762.56160800002</v>
      </c>
      <c r="O79" s="29">
        <v>246587.192037</v>
      </c>
      <c r="P79" s="29">
        <v>125641.30347700001</v>
      </c>
      <c r="Q79" s="29">
        <v>45804.507841999999</v>
      </c>
      <c r="R79" s="29"/>
      <c r="S79" s="75">
        <v>238817.23517205942</v>
      </c>
      <c r="T79" s="76">
        <f t="shared" si="13"/>
        <v>2388.1723517205942</v>
      </c>
      <c r="U79" s="76">
        <f t="shared" si="14"/>
        <v>238.81723517205941</v>
      </c>
      <c r="V79" s="76">
        <f t="shared" si="15"/>
        <v>23.881723517205941</v>
      </c>
      <c r="X79" s="33">
        <v>0.3661234974861145</v>
      </c>
      <c r="Y79" s="33">
        <v>0.26052874326705933</v>
      </c>
      <c r="Z79" s="33">
        <v>0.12527525424957275</v>
      </c>
      <c r="AA79" s="33">
        <v>9.2952467501163483E-2</v>
      </c>
      <c r="AB79" s="33">
        <v>4.698215052485466E-2</v>
      </c>
      <c r="AC79" s="33">
        <v>1.6419073566794395E-2</v>
      </c>
      <c r="AD79" s="33"/>
      <c r="AE79" s="29">
        <f t="shared" si="16"/>
        <v>1348872.189438343</v>
      </c>
      <c r="AF79" s="29">
        <f t="shared" si="17"/>
        <v>959839.99594449997</v>
      </c>
      <c r="AG79" s="29">
        <f t="shared" si="18"/>
        <v>461539.09170627594</v>
      </c>
      <c r="AH79" s="29">
        <f t="shared" si="19"/>
        <v>342455.4807677865</v>
      </c>
      <c r="AI79" s="29">
        <f t="shared" si="20"/>
        <v>173091.63896366954</v>
      </c>
      <c r="AJ79" s="29">
        <f t="shared" si="21"/>
        <v>60491.150834783912</v>
      </c>
    </row>
    <row r="80" spans="1:36" ht="10.5" customHeight="1">
      <c r="A80">
        <f t="shared" si="22"/>
        <v>1986</v>
      </c>
      <c r="B80" s="29">
        <v>3848200</v>
      </c>
      <c r="C80" s="29"/>
      <c r="D80" s="29">
        <v>1253388.8620770001</v>
      </c>
      <c r="E80" s="29">
        <v>844289.39936699998</v>
      </c>
      <c r="F80" s="29">
        <v>374554.18735700002</v>
      </c>
      <c r="G80" s="29">
        <v>273675.146557</v>
      </c>
      <c r="H80" s="29">
        <v>136147.72950700001</v>
      </c>
      <c r="I80" s="29">
        <v>51579.693349000001</v>
      </c>
      <c r="J80" s="29"/>
      <c r="K80" s="29">
        <v>3581588.3624</v>
      </c>
      <c r="L80" s="29">
        <v>1095209.92551</v>
      </c>
      <c r="M80" s="29">
        <v>745071.11642999994</v>
      </c>
      <c r="N80" s="29">
        <v>337444.87290999998</v>
      </c>
      <c r="O80" s="29">
        <v>247142.26663299999</v>
      </c>
      <c r="P80" s="29">
        <v>123276.521893</v>
      </c>
      <c r="Q80" s="29">
        <v>46956.010074999998</v>
      </c>
      <c r="R80" s="29"/>
      <c r="S80" s="75">
        <v>240014.78368494418</v>
      </c>
      <c r="T80" s="76">
        <f t="shared" si="13"/>
        <v>2400.1478368494418</v>
      </c>
      <c r="U80" s="76">
        <f t="shared" si="14"/>
        <v>240.01478368494418</v>
      </c>
      <c r="V80" s="76">
        <f t="shared" si="15"/>
        <v>24.001478368494418</v>
      </c>
      <c r="X80" s="33">
        <v>0.36431166529655457</v>
      </c>
      <c r="Y80" s="33">
        <v>0.25812250375747681</v>
      </c>
      <c r="Z80" s="33">
        <v>0.1218298003077507</v>
      </c>
      <c r="AA80" s="33">
        <v>8.8982850313186646E-2</v>
      </c>
      <c r="AB80" s="33">
        <v>4.3378166854381561E-2</v>
      </c>
      <c r="AC80" s="33">
        <v>1.5472428873181343E-2</v>
      </c>
      <c r="AD80" s="33"/>
      <c r="AE80" s="29">
        <f t="shared" si="16"/>
        <v>1401944.1503942013</v>
      </c>
      <c r="AF80" s="29">
        <f t="shared" si="17"/>
        <v>993307.01895952225</v>
      </c>
      <c r="AG80" s="29">
        <f t="shared" si="18"/>
        <v>468825.43754428625</v>
      </c>
      <c r="AH80" s="29">
        <f t="shared" si="19"/>
        <v>342423.80457520485</v>
      </c>
      <c r="AI80" s="29">
        <f t="shared" si="20"/>
        <v>166927.86168903112</v>
      </c>
      <c r="AJ80" s="29">
        <f t="shared" si="21"/>
        <v>59541.000789776444</v>
      </c>
    </row>
    <row r="81" spans="1:36" ht="10.5" customHeight="1">
      <c r="A81">
        <f t="shared" si="22"/>
        <v>1987</v>
      </c>
      <c r="B81" s="29">
        <v>4119200</v>
      </c>
      <c r="C81" s="29"/>
      <c r="D81" s="29">
        <v>1341440.3594140001</v>
      </c>
      <c r="E81" s="29">
        <v>908136.56894399994</v>
      </c>
      <c r="F81" s="29">
        <v>402780.10432400001</v>
      </c>
      <c r="G81" s="29">
        <v>292053.66407400003</v>
      </c>
      <c r="H81" s="29">
        <v>143866.90558399999</v>
      </c>
      <c r="I81" s="29">
        <v>53744.712321999999</v>
      </c>
      <c r="J81" s="29"/>
      <c r="K81" s="29">
        <v>3808491.7344</v>
      </c>
      <c r="L81" s="29">
        <v>1171284.3270639998</v>
      </c>
      <c r="M81" s="29">
        <v>800667.12105399987</v>
      </c>
      <c r="N81" s="29">
        <v>362167.62872400001</v>
      </c>
      <c r="O81" s="29">
        <v>262380.81135799998</v>
      </c>
      <c r="P81" s="29">
        <v>128762.936198</v>
      </c>
      <c r="Q81" s="29">
        <v>47842.979626</v>
      </c>
      <c r="R81" s="29"/>
      <c r="S81" s="75">
        <v>239347.69033505797</v>
      </c>
      <c r="T81" s="76">
        <f t="shared" si="13"/>
        <v>2393.4769033505795</v>
      </c>
      <c r="U81" s="76">
        <f t="shared" si="14"/>
        <v>239.34769033505796</v>
      </c>
      <c r="V81" s="76">
        <f t="shared" si="15"/>
        <v>23.934769033505798</v>
      </c>
      <c r="X81" s="33">
        <v>0.37624996900558472</v>
      </c>
      <c r="Y81" s="33">
        <v>0.27166438102722168</v>
      </c>
      <c r="Z81" s="33">
        <v>0.13308781385421753</v>
      </c>
      <c r="AA81" s="33">
        <v>9.8146438598632813E-2</v>
      </c>
      <c r="AB81" s="33">
        <v>4.8434987664222717E-2</v>
      </c>
      <c r="AC81" s="33">
        <v>1.7138360068202019E-2</v>
      </c>
      <c r="AD81" s="33"/>
      <c r="AE81" s="29">
        <f t="shared" si="16"/>
        <v>1549848.8723278046</v>
      </c>
      <c r="AF81" s="29">
        <f t="shared" si="17"/>
        <v>1119039.9183273315</v>
      </c>
      <c r="AG81" s="29">
        <f t="shared" si="18"/>
        <v>548215.32282829285</v>
      </c>
      <c r="AH81" s="29">
        <f t="shared" si="19"/>
        <v>404284.80987548828</v>
      </c>
      <c r="AI81" s="29">
        <f t="shared" si="20"/>
        <v>199513.40118646622</v>
      </c>
      <c r="AJ81" s="29">
        <f t="shared" si="21"/>
        <v>70596.332792937756</v>
      </c>
    </row>
    <row r="82" spans="1:36" ht="10.5" customHeight="1">
      <c r="A82">
        <f t="shared" si="22"/>
        <v>1988</v>
      </c>
      <c r="B82" s="29">
        <v>4493400</v>
      </c>
      <c r="C82" s="29"/>
      <c r="D82" s="29">
        <v>1541777.325095</v>
      </c>
      <c r="E82" s="29">
        <v>1076559.7633549999</v>
      </c>
      <c r="F82" s="29">
        <v>525437.09215499996</v>
      </c>
      <c r="G82" s="29">
        <v>398460.56722500001</v>
      </c>
      <c r="H82" s="29">
        <v>217072.57357499999</v>
      </c>
      <c r="I82" s="29">
        <v>87747.248705000005</v>
      </c>
      <c r="J82" s="29"/>
      <c r="K82" s="29">
        <v>4136172.0447</v>
      </c>
      <c r="L82" s="29">
        <v>1348080.4019269999</v>
      </c>
      <c r="M82" s="29">
        <v>951461.30178700003</v>
      </c>
      <c r="N82" s="29">
        <v>472243.93409700005</v>
      </c>
      <c r="O82" s="29">
        <v>358356.70630700001</v>
      </c>
      <c r="P82" s="29">
        <v>194605.90933699999</v>
      </c>
      <c r="Q82" s="29">
        <v>78422.051387</v>
      </c>
      <c r="R82" s="29"/>
      <c r="S82" s="75">
        <v>243928.69037118822</v>
      </c>
      <c r="T82" s="76">
        <f t="shared" si="13"/>
        <v>2439.2869037118821</v>
      </c>
      <c r="U82" s="76">
        <f t="shared" si="14"/>
        <v>243.92869037118822</v>
      </c>
      <c r="V82" s="76">
        <f t="shared" si="15"/>
        <v>24.392869037118825</v>
      </c>
      <c r="X82" s="33">
        <v>0.38959160447120667</v>
      </c>
      <c r="Y82" s="33">
        <v>0.28673195838928223</v>
      </c>
      <c r="Z82" s="33">
        <v>0.14881134033203125</v>
      </c>
      <c r="AA82" s="33">
        <v>0.11337336897850037</v>
      </c>
      <c r="AB82" s="33">
        <v>5.9708449989557266E-2</v>
      </c>
      <c r="AC82" s="33">
        <v>2.3015553131699562E-2</v>
      </c>
      <c r="AD82" s="33"/>
      <c r="AE82" s="29">
        <f t="shared" si="16"/>
        <v>1750590.91553092</v>
      </c>
      <c r="AF82" s="29">
        <f t="shared" si="17"/>
        <v>1288401.3818264008</v>
      </c>
      <c r="AG82" s="29">
        <f t="shared" si="18"/>
        <v>668668.87664794922</v>
      </c>
      <c r="AH82" s="29">
        <f t="shared" si="19"/>
        <v>509431.89616799355</v>
      </c>
      <c r="AI82" s="29">
        <f t="shared" si="20"/>
        <v>268293.94918307662</v>
      </c>
      <c r="AJ82" s="29">
        <f t="shared" si="21"/>
        <v>103418.08644197881</v>
      </c>
    </row>
    <row r="83" spans="1:36" ht="10.5" customHeight="1">
      <c r="A83">
        <f t="shared" si="22"/>
        <v>1989</v>
      </c>
      <c r="B83" s="29">
        <v>4782200</v>
      </c>
      <c r="C83" s="29"/>
      <c r="D83" s="29">
        <v>1627409.9988129998</v>
      </c>
      <c r="E83" s="29">
        <v>1129779.9654029999</v>
      </c>
      <c r="F83" s="29">
        <v>535733.19773300004</v>
      </c>
      <c r="G83" s="29">
        <v>401868.14919300005</v>
      </c>
      <c r="H83" s="29">
        <v>212217.68678300001</v>
      </c>
      <c r="I83" s="29">
        <v>84347.028883000006</v>
      </c>
      <c r="J83" s="29"/>
      <c r="K83" s="29">
        <v>4420763.2752999999</v>
      </c>
      <c r="L83" s="29">
        <v>1422239.825615</v>
      </c>
      <c r="M83" s="29">
        <v>995557.77212500002</v>
      </c>
      <c r="N83" s="29">
        <v>480106.25784500001</v>
      </c>
      <c r="O83" s="29">
        <v>359982.04597500002</v>
      </c>
      <c r="P83" s="29">
        <v>189956.814155</v>
      </c>
      <c r="Q83" s="29">
        <v>74946.353155000004</v>
      </c>
      <c r="R83" s="29"/>
      <c r="S83" s="75">
        <v>246299.01205424103</v>
      </c>
      <c r="T83" s="76">
        <f t="shared" si="13"/>
        <v>2462.9901205424103</v>
      </c>
      <c r="U83" s="76">
        <f t="shared" si="14"/>
        <v>246.29901205424105</v>
      </c>
      <c r="V83" s="76">
        <f t="shared" si="15"/>
        <v>24.629901205424105</v>
      </c>
      <c r="X83" s="33">
        <v>0.38681918382644653</v>
      </c>
      <c r="Y83" s="33">
        <v>0.2831992506980896</v>
      </c>
      <c r="Z83" s="33">
        <v>0.14465180039405823</v>
      </c>
      <c r="AA83" s="33">
        <v>0.10872525721788406</v>
      </c>
      <c r="AB83" s="33">
        <v>5.5312599986791611E-2</v>
      </c>
      <c r="AC83" s="33">
        <v>2.0483557134866714E-2</v>
      </c>
      <c r="AD83" s="33"/>
      <c r="AE83" s="29">
        <f t="shared" si="16"/>
        <v>1849846.7008948326</v>
      </c>
      <c r="AF83" s="29">
        <f t="shared" si="17"/>
        <v>1354315.4566884041</v>
      </c>
      <c r="AG83" s="29">
        <f t="shared" si="18"/>
        <v>691753.83984446526</v>
      </c>
      <c r="AH83" s="29">
        <f t="shared" si="19"/>
        <v>519945.92506736517</v>
      </c>
      <c r="AI83" s="29">
        <f t="shared" si="20"/>
        <v>264515.91565683484</v>
      </c>
      <c r="AJ83" s="29">
        <f t="shared" si="21"/>
        <v>97956.466930359602</v>
      </c>
    </row>
    <row r="84" spans="1:36" ht="10.5" customHeight="1">
      <c r="A84">
        <f t="shared" si="22"/>
        <v>1990</v>
      </c>
      <c r="B84" s="29">
        <v>5036100</v>
      </c>
      <c r="C84" s="29"/>
      <c r="D84" s="29">
        <v>1746634.5775320001</v>
      </c>
      <c r="E84" s="29">
        <v>1214512.5196519999</v>
      </c>
      <c r="F84" s="29">
        <v>572403.01095199992</v>
      </c>
      <c r="G84" s="29">
        <v>427735.60065199999</v>
      </c>
      <c r="H84" s="29">
        <v>223778.21917200001</v>
      </c>
      <c r="I84" s="29">
        <v>88692.839141999997</v>
      </c>
      <c r="J84" s="29"/>
      <c r="K84" s="29">
        <v>4679290.8296999997</v>
      </c>
      <c r="L84" s="29">
        <v>1518784.1724649998</v>
      </c>
      <c r="M84" s="29">
        <v>1065681.7167849999</v>
      </c>
      <c r="N84" s="29">
        <v>511080.33042499999</v>
      </c>
      <c r="O84" s="29">
        <v>382654.35563499999</v>
      </c>
      <c r="P84" s="29">
        <v>200023.62004499999</v>
      </c>
      <c r="Q84" s="29">
        <v>78927.688165</v>
      </c>
      <c r="R84" s="29"/>
      <c r="S84" s="75">
        <v>251004.931468</v>
      </c>
      <c r="T84" s="76">
        <f t="shared" si="13"/>
        <v>2510.04931468</v>
      </c>
      <c r="U84" s="76">
        <f t="shared" si="14"/>
        <v>251.004931468</v>
      </c>
      <c r="V84" s="76">
        <f t="shared" si="15"/>
        <v>25.100493146800002</v>
      </c>
      <c r="X84" s="33">
        <v>0.38719809055328369</v>
      </c>
      <c r="Y84" s="33">
        <v>0.28333184123039246</v>
      </c>
      <c r="Z84" s="33">
        <v>0.14543354511260986</v>
      </c>
      <c r="AA84" s="33">
        <v>0.10952146351337433</v>
      </c>
      <c r="AB84" s="33">
        <v>5.5455811321735382E-2</v>
      </c>
      <c r="AC84" s="33">
        <v>2.0548734813928604E-2</v>
      </c>
      <c r="AD84" s="33"/>
      <c r="AE84" s="29">
        <f t="shared" si="16"/>
        <v>1949968.303835392</v>
      </c>
      <c r="AF84" s="29">
        <f t="shared" si="17"/>
        <v>1426887.4856203794</v>
      </c>
      <c r="AG84" s="29">
        <f t="shared" si="18"/>
        <v>732417.87654161453</v>
      </c>
      <c r="AH84" s="29">
        <f t="shared" si="19"/>
        <v>551561.04239970446</v>
      </c>
      <c r="AI84" s="29">
        <f t="shared" si="20"/>
        <v>279281.01139739156</v>
      </c>
      <c r="AJ84" s="29">
        <f t="shared" si="21"/>
        <v>103485.48339642584</v>
      </c>
    </row>
    <row r="85" spans="1:36" ht="10.5" customHeight="1">
      <c r="A85">
        <f t="shared" si="22"/>
        <v>1991</v>
      </c>
      <c r="B85" s="29">
        <v>5186100</v>
      </c>
      <c r="C85" s="29"/>
      <c r="D85" s="29">
        <v>1801467.5031660001</v>
      </c>
      <c r="E85" s="29">
        <v>1243403.5742560001</v>
      </c>
      <c r="F85" s="29">
        <v>569109.91789599997</v>
      </c>
      <c r="G85" s="29">
        <v>419768.69602600002</v>
      </c>
      <c r="H85" s="29">
        <v>216075.58525599999</v>
      </c>
      <c r="I85" s="29">
        <v>84037.639135999998</v>
      </c>
      <c r="J85" s="29"/>
      <c r="K85" s="29">
        <v>4864269.1774000004</v>
      </c>
      <c r="L85" s="29">
        <v>1557802.4631129997</v>
      </c>
      <c r="M85" s="29">
        <v>1082867.8360829998</v>
      </c>
      <c r="N85" s="29">
        <v>503173.30971300002</v>
      </c>
      <c r="O85" s="29">
        <v>372355.08654300001</v>
      </c>
      <c r="P85" s="29">
        <v>191071.25133299999</v>
      </c>
      <c r="Q85" s="29">
        <v>73781.053992999994</v>
      </c>
      <c r="R85" s="29"/>
      <c r="S85" s="75">
        <v>254328.40104512265</v>
      </c>
      <c r="T85" s="76">
        <f t="shared" si="13"/>
        <v>2543.2840104512265</v>
      </c>
      <c r="U85" s="76">
        <f t="shared" si="14"/>
        <v>254.32840104512266</v>
      </c>
      <c r="V85" s="76">
        <f t="shared" si="15"/>
        <v>25.432840104512266</v>
      </c>
      <c r="X85" s="33">
        <v>0.38559269905090332</v>
      </c>
      <c r="Y85" s="33">
        <v>0.28014731407165527</v>
      </c>
      <c r="Z85" s="33">
        <v>0.13891759514808655</v>
      </c>
      <c r="AA85" s="33">
        <v>0.10279789566993713</v>
      </c>
      <c r="AB85" s="33">
        <v>5.1300503313541412E-2</v>
      </c>
      <c r="AC85" s="33">
        <v>1.917562447488308E-2</v>
      </c>
      <c r="AD85" s="33"/>
      <c r="AE85" s="29">
        <f t="shared" si="16"/>
        <v>1999722.2965478897</v>
      </c>
      <c r="AF85" s="29">
        <f t="shared" si="17"/>
        <v>1452871.9855070114</v>
      </c>
      <c r="AG85" s="29">
        <f t="shared" si="18"/>
        <v>720440.54019749165</v>
      </c>
      <c r="AH85" s="29">
        <f t="shared" si="19"/>
        <v>533120.16673386097</v>
      </c>
      <c r="AI85" s="29">
        <f t="shared" si="20"/>
        <v>266049.54023435712</v>
      </c>
      <c r="AJ85" s="29">
        <f t="shared" si="21"/>
        <v>99446.706089191139</v>
      </c>
    </row>
    <row r="86" spans="1:36" ht="10.5" customHeight="1">
      <c r="A86">
        <f t="shared" si="22"/>
        <v>1992</v>
      </c>
      <c r="B86" s="29">
        <v>5499700</v>
      </c>
      <c r="C86" s="29"/>
      <c r="D86" s="29">
        <v>1960546.9573900001</v>
      </c>
      <c r="E86" s="29">
        <v>1367429.0260099999</v>
      </c>
      <c r="F86" s="29">
        <v>641712.31512000016</v>
      </c>
      <c r="G86" s="29">
        <v>480504.71350000001</v>
      </c>
      <c r="H86" s="29">
        <v>254467.45915000001</v>
      </c>
      <c r="I86" s="29">
        <v>102469.89476</v>
      </c>
      <c r="J86" s="29"/>
      <c r="K86" s="29">
        <v>5196769.0606000004</v>
      </c>
      <c r="L86" s="29">
        <v>1690632.5544729999</v>
      </c>
      <c r="M86" s="29">
        <v>1185668.126223</v>
      </c>
      <c r="N86" s="29">
        <v>565708.94209299993</v>
      </c>
      <c r="O86" s="29">
        <v>424685.08571300004</v>
      </c>
      <c r="P86" s="29">
        <v>224343.24730299998</v>
      </c>
      <c r="Q86" s="29">
        <v>89463.181142999994</v>
      </c>
      <c r="R86" s="29"/>
      <c r="S86" s="75">
        <v>256699.59286786182</v>
      </c>
      <c r="T86" s="76">
        <f t="shared" si="13"/>
        <v>2566.9959286786184</v>
      </c>
      <c r="U86" s="76">
        <f t="shared" si="14"/>
        <v>256.69959286786184</v>
      </c>
      <c r="V86" s="76">
        <f t="shared" si="15"/>
        <v>25.669959286786185</v>
      </c>
      <c r="X86" s="33">
        <v>0.39778643846511841</v>
      </c>
      <c r="Y86" s="33">
        <v>0.29296061396598816</v>
      </c>
      <c r="Z86" s="33">
        <v>0.15014462172985077</v>
      </c>
      <c r="AA86" s="33">
        <v>0.11276166886091232</v>
      </c>
      <c r="AB86" s="33">
        <v>5.7778526097536087E-2</v>
      </c>
      <c r="AC86" s="33">
        <v>2.2829271852970123E-2</v>
      </c>
      <c r="AD86" s="33"/>
      <c r="AE86" s="29">
        <f t="shared" si="16"/>
        <v>2187706.0756266117</v>
      </c>
      <c r="AF86" s="29">
        <f t="shared" si="17"/>
        <v>1611195.4886287451</v>
      </c>
      <c r="AG86" s="29">
        <f t="shared" si="18"/>
        <v>825750.37612766027</v>
      </c>
      <c r="AH86" s="29">
        <f t="shared" si="19"/>
        <v>620155.3502343595</v>
      </c>
      <c r="AI86" s="29">
        <f t="shared" si="20"/>
        <v>317764.55997861922</v>
      </c>
      <c r="AJ86" s="29">
        <f t="shared" si="21"/>
        <v>125554.14640977979</v>
      </c>
    </row>
    <row r="87" spans="1:36" ht="10.5" customHeight="1">
      <c r="A87">
        <f t="shared" si="22"/>
        <v>1993</v>
      </c>
      <c r="B87" s="29">
        <v>5754800</v>
      </c>
      <c r="C87" s="29"/>
      <c r="D87" s="29">
        <v>2026193.8415510003</v>
      </c>
      <c r="E87" s="29">
        <v>1401163.3333210002</v>
      </c>
      <c r="F87" s="29">
        <v>635099.31052099995</v>
      </c>
      <c r="G87" s="29">
        <v>468238.808571</v>
      </c>
      <c r="H87" s="29">
        <v>242772.96209099999</v>
      </c>
      <c r="I87" s="29">
        <v>96280.862550999998</v>
      </c>
      <c r="J87" s="29"/>
      <c r="K87" s="29">
        <v>5433948.0924000004</v>
      </c>
      <c r="L87" s="29">
        <v>1737093.394084</v>
      </c>
      <c r="M87" s="29">
        <v>1209310.8168839999</v>
      </c>
      <c r="N87" s="29">
        <v>555952.52448399994</v>
      </c>
      <c r="O87" s="29">
        <v>410978.48206399998</v>
      </c>
      <c r="P87" s="29">
        <v>211970.44546399999</v>
      </c>
      <c r="Q87" s="29">
        <v>83175.121354000003</v>
      </c>
      <c r="R87" s="29"/>
      <c r="S87" s="75">
        <v>259648.85743617211</v>
      </c>
      <c r="T87" s="76">
        <f t="shared" si="13"/>
        <v>2596.488574361721</v>
      </c>
      <c r="U87" s="76">
        <f t="shared" si="14"/>
        <v>259.64885743617214</v>
      </c>
      <c r="V87" s="76">
        <f t="shared" si="15"/>
        <v>25.964885743617213</v>
      </c>
      <c r="X87" s="33">
        <v>0.39561119675636292</v>
      </c>
      <c r="Y87" s="33">
        <v>0.28985750675201416</v>
      </c>
      <c r="Z87" s="33">
        <v>0.14642144739627838</v>
      </c>
      <c r="AA87" s="33">
        <v>0.10960081219673157</v>
      </c>
      <c r="AB87" s="33">
        <v>5.6099776178598404E-2</v>
      </c>
      <c r="AC87" s="33">
        <v>2.2556617856025696E-2</v>
      </c>
      <c r="AD87" s="33"/>
      <c r="AE87" s="29">
        <f t="shared" si="16"/>
        <v>2276663.3150935173</v>
      </c>
      <c r="AF87" s="29">
        <f t="shared" si="17"/>
        <v>1668071.9798564911</v>
      </c>
      <c r="AG87" s="29">
        <f t="shared" si="18"/>
        <v>842626.14547610283</v>
      </c>
      <c r="AH87" s="29">
        <f t="shared" si="19"/>
        <v>630730.75402975082</v>
      </c>
      <c r="AI87" s="29">
        <f t="shared" si="20"/>
        <v>322842.99195259809</v>
      </c>
      <c r="AJ87" s="29">
        <f t="shared" si="21"/>
        <v>129808.82443785667</v>
      </c>
    </row>
    <row r="88" spans="1:36" ht="10.5" customHeight="1">
      <c r="A88">
        <f t="shared" si="22"/>
        <v>1994</v>
      </c>
      <c r="B88" s="29">
        <v>6140200</v>
      </c>
      <c r="C88" s="29"/>
      <c r="D88" s="29">
        <v>2143937.6762399999</v>
      </c>
      <c r="E88" s="29">
        <v>1485449.75975</v>
      </c>
      <c r="F88" s="29">
        <v>676470.85204000003</v>
      </c>
      <c r="G88" s="29">
        <v>497958.41440000001</v>
      </c>
      <c r="H88" s="29">
        <v>259097.20462999999</v>
      </c>
      <c r="I88" s="29">
        <v>102800.87832</v>
      </c>
      <c r="J88" s="29"/>
      <c r="K88" s="29">
        <v>5770247.5160999997</v>
      </c>
      <c r="L88" s="29">
        <v>1829617.4195070001</v>
      </c>
      <c r="M88" s="29">
        <v>1273338.479417</v>
      </c>
      <c r="N88" s="29">
        <v>586345.17497699999</v>
      </c>
      <c r="O88" s="29">
        <v>431691.81176700001</v>
      </c>
      <c r="P88" s="29">
        <v>223138.22280700001</v>
      </c>
      <c r="Q88" s="29">
        <v>87637.132847000001</v>
      </c>
      <c r="R88" s="29"/>
      <c r="S88" s="75">
        <v>259875.20131862332</v>
      </c>
      <c r="T88" s="76">
        <f t="shared" si="13"/>
        <v>2598.7520131862334</v>
      </c>
      <c r="U88" s="76">
        <f t="shared" si="14"/>
        <v>259.87520131862334</v>
      </c>
      <c r="V88" s="76">
        <f t="shared" si="15"/>
        <v>25.987520131862333</v>
      </c>
      <c r="X88" s="33">
        <v>0.3986051082611084</v>
      </c>
      <c r="Y88" s="33">
        <v>0.291850745677948</v>
      </c>
      <c r="Z88" s="33">
        <v>0.14686013758182526</v>
      </c>
      <c r="AA88" s="33">
        <v>0.1097041517496109</v>
      </c>
      <c r="AB88" s="33">
        <v>5.6076284497976303E-2</v>
      </c>
      <c r="AC88" s="33">
        <v>2.2223237901926041E-2</v>
      </c>
      <c r="AD88" s="33"/>
      <c r="AE88" s="29">
        <f t="shared" si="16"/>
        <v>2447515.0857448578</v>
      </c>
      <c r="AF88" s="29">
        <f t="shared" si="17"/>
        <v>1792021.9486117363</v>
      </c>
      <c r="AG88" s="29">
        <f t="shared" si="18"/>
        <v>901750.61677992344</v>
      </c>
      <c r="AH88" s="29">
        <f t="shared" si="19"/>
        <v>673605.43257296085</v>
      </c>
      <c r="AI88" s="29">
        <f t="shared" si="20"/>
        <v>344319.6020744741</v>
      </c>
      <c r="AJ88" s="29">
        <f t="shared" si="21"/>
        <v>136455.12536540627</v>
      </c>
    </row>
    <row r="89" spans="1:36" ht="10.5" customHeight="1">
      <c r="A89">
        <f t="shared" si="22"/>
        <v>1995</v>
      </c>
      <c r="B89" s="29">
        <v>6479500</v>
      </c>
      <c r="C89" s="29"/>
      <c r="D89" s="29">
        <v>2302097.8635299997</v>
      </c>
      <c r="E89" s="29">
        <v>1606094.3332100001</v>
      </c>
      <c r="F89" s="29">
        <v>750552.87184000004</v>
      </c>
      <c r="G89" s="29">
        <v>559011.53162000002</v>
      </c>
      <c r="H89" s="29">
        <v>292786.87326999998</v>
      </c>
      <c r="I89" s="29">
        <v>116155.53795</v>
      </c>
      <c r="J89" s="29"/>
      <c r="K89" s="29">
        <v>6099779.4096999997</v>
      </c>
      <c r="L89" s="29">
        <v>1969465.4549799999</v>
      </c>
      <c r="M89" s="29">
        <v>1381402.34344</v>
      </c>
      <c r="N89" s="29">
        <v>652266.53335000004</v>
      </c>
      <c r="O89" s="29">
        <v>484989.63370999997</v>
      </c>
      <c r="P89" s="29">
        <v>253269.80666</v>
      </c>
      <c r="Q89" s="29">
        <v>99445.631380000006</v>
      </c>
      <c r="R89" s="29"/>
      <c r="S89" s="75">
        <v>264022.82640399999</v>
      </c>
      <c r="T89" s="76">
        <f t="shared" si="13"/>
        <v>2640.2282640399999</v>
      </c>
      <c r="U89" s="76">
        <f t="shared" si="14"/>
        <v>264.022826404</v>
      </c>
      <c r="V89" s="76">
        <f t="shared" si="15"/>
        <v>26.402282640399999</v>
      </c>
      <c r="X89" s="33">
        <v>0.40660810470581055</v>
      </c>
      <c r="Y89" s="33">
        <v>0.29977643489837646</v>
      </c>
      <c r="Z89" s="33">
        <v>0.15284740924835205</v>
      </c>
      <c r="AA89" s="33">
        <v>0.114561527967453</v>
      </c>
      <c r="AB89" s="33">
        <v>5.9117026627063751E-2</v>
      </c>
      <c r="AC89" s="33">
        <v>2.3285076022148132E-2</v>
      </c>
      <c r="AD89" s="33"/>
      <c r="AE89" s="29">
        <f t="shared" si="16"/>
        <v>2634617.2144412994</v>
      </c>
      <c r="AF89" s="29">
        <f t="shared" si="17"/>
        <v>1942401.4099240303</v>
      </c>
      <c r="AG89" s="29">
        <f t="shared" si="18"/>
        <v>990374.78822469711</v>
      </c>
      <c r="AH89" s="29">
        <f t="shared" si="19"/>
        <v>742301.42046511173</v>
      </c>
      <c r="AI89" s="29">
        <f t="shared" si="20"/>
        <v>383048.77403005958</v>
      </c>
      <c r="AJ89" s="29">
        <f t="shared" si="21"/>
        <v>150875.65008550882</v>
      </c>
    </row>
    <row r="90" spans="1:36" ht="10.5" customHeight="1">
      <c r="A90">
        <f t="shared" si="22"/>
        <v>1996</v>
      </c>
      <c r="B90" s="29">
        <v>6899400</v>
      </c>
      <c r="C90" s="29"/>
      <c r="D90" s="29">
        <v>2488034.0605600001</v>
      </c>
      <c r="E90" s="29">
        <v>1751022.3486800001</v>
      </c>
      <c r="F90" s="29">
        <v>828832.15344999998</v>
      </c>
      <c r="G90" s="29">
        <v>619040.90207000007</v>
      </c>
      <c r="H90" s="29">
        <v>326457.61726999999</v>
      </c>
      <c r="I90" s="29">
        <v>130870.28322</v>
      </c>
      <c r="J90" s="29"/>
      <c r="K90" s="29">
        <v>6499044.2271999996</v>
      </c>
      <c r="L90" s="29">
        <v>2139916.7547299997</v>
      </c>
      <c r="M90" s="29">
        <v>1513105.9913700002</v>
      </c>
      <c r="N90" s="29">
        <v>723902.59917000006</v>
      </c>
      <c r="O90" s="29">
        <v>539970.46726000006</v>
      </c>
      <c r="P90" s="29">
        <v>283355.38131000003</v>
      </c>
      <c r="Q90" s="29">
        <v>112679.14393000001</v>
      </c>
      <c r="R90" s="29"/>
      <c r="S90" s="75">
        <v>265342.48566089169</v>
      </c>
      <c r="T90" s="76">
        <f t="shared" si="13"/>
        <v>2653.4248566089168</v>
      </c>
      <c r="U90" s="76">
        <f t="shared" si="14"/>
        <v>265.34248566089167</v>
      </c>
      <c r="V90" s="76">
        <f t="shared" si="15"/>
        <v>26.534248566089172</v>
      </c>
      <c r="X90" s="33">
        <v>0.41548922657966614</v>
      </c>
      <c r="Y90" s="33">
        <v>0.30878981947898865</v>
      </c>
      <c r="Z90" s="33">
        <v>0.15964600443840027</v>
      </c>
      <c r="AA90" s="33">
        <v>0.1204981803894043</v>
      </c>
      <c r="AB90" s="33">
        <v>6.3801869750022888E-2</v>
      </c>
      <c r="AC90" s="33">
        <v>2.589520625770092E-2</v>
      </c>
      <c r="AD90" s="33"/>
      <c r="AE90" s="29">
        <f t="shared" si="16"/>
        <v>2866626.3698637486</v>
      </c>
      <c r="AF90" s="29">
        <f t="shared" si="17"/>
        <v>2130464.4805133343</v>
      </c>
      <c r="AG90" s="29">
        <f t="shared" si="18"/>
        <v>1101461.6430222988</v>
      </c>
      <c r="AH90" s="29">
        <f t="shared" si="19"/>
        <v>831365.14577865601</v>
      </c>
      <c r="AI90" s="29">
        <f t="shared" si="20"/>
        <v>440194.62015330791</v>
      </c>
      <c r="AJ90" s="29">
        <f t="shared" si="21"/>
        <v>178661.38605438173</v>
      </c>
    </row>
    <row r="91" spans="1:36" ht="10.5" customHeight="1">
      <c r="A91">
        <f t="shared" si="22"/>
        <v>1997</v>
      </c>
      <c r="B91" s="29">
        <v>7380400</v>
      </c>
      <c r="C91" s="29"/>
      <c r="D91" s="29">
        <v>2704460.3291099994</v>
      </c>
      <c r="E91" s="29">
        <v>1917029.4196199998</v>
      </c>
      <c r="F91" s="29">
        <v>926822.68145000003</v>
      </c>
      <c r="G91" s="29">
        <v>699983.87306000001</v>
      </c>
      <c r="H91" s="29">
        <v>376130.99346000003</v>
      </c>
      <c r="I91" s="29">
        <v>150910.38279999999</v>
      </c>
      <c r="J91" s="29"/>
      <c r="K91" s="29">
        <v>6930092.6920999996</v>
      </c>
      <c r="L91" s="29">
        <v>2327566.4408200001</v>
      </c>
      <c r="M91" s="29">
        <v>1657476.4592300002</v>
      </c>
      <c r="N91" s="29">
        <v>810396.87170000002</v>
      </c>
      <c r="O91" s="29">
        <v>612347.14023999998</v>
      </c>
      <c r="P91" s="29">
        <v>327538.63344000001</v>
      </c>
      <c r="Q91" s="29">
        <v>130390.63139</v>
      </c>
      <c r="R91" s="29"/>
      <c r="S91" s="75">
        <v>268222.17502512486</v>
      </c>
      <c r="T91" s="76">
        <f t="shared" si="13"/>
        <v>2682.2217502512485</v>
      </c>
      <c r="U91" s="76">
        <f t="shared" si="14"/>
        <v>268.22217502512484</v>
      </c>
      <c r="V91" s="76">
        <f t="shared" si="15"/>
        <v>26.822217502512487</v>
      </c>
      <c r="X91" s="33">
        <v>0.42272379994392395</v>
      </c>
      <c r="Y91" s="33">
        <v>0.31624969840049744</v>
      </c>
      <c r="Z91" s="33">
        <v>0.16628000140190125</v>
      </c>
      <c r="AA91" s="33">
        <v>0.12699979543685913</v>
      </c>
      <c r="AB91" s="33">
        <v>6.8389192223548889E-2</v>
      </c>
      <c r="AC91" s="33">
        <v>2.7417011559009552E-2</v>
      </c>
      <c r="AD91" s="33"/>
      <c r="AE91" s="29">
        <f t="shared" si="16"/>
        <v>3119870.7331061363</v>
      </c>
      <c r="AF91" s="29">
        <f t="shared" si="17"/>
        <v>2334049.2740750313</v>
      </c>
      <c r="AG91" s="29">
        <f t="shared" si="18"/>
        <v>1227212.9223465919</v>
      </c>
      <c r="AH91" s="29">
        <f t="shared" si="19"/>
        <v>937309.29024219513</v>
      </c>
      <c r="AI91" s="29">
        <f t="shared" si="20"/>
        <v>504739.59428668022</v>
      </c>
      <c r="AJ91" s="29">
        <f t="shared" si="21"/>
        <v>202348.5121101141</v>
      </c>
    </row>
    <row r="92" spans="1:36" ht="10.5" customHeight="1">
      <c r="A92">
        <f t="shared" si="22"/>
        <v>1998</v>
      </c>
      <c r="B92" s="29">
        <v>7857300</v>
      </c>
      <c r="C92" s="29"/>
      <c r="D92" s="29">
        <v>2880931.2405299996</v>
      </c>
      <c r="E92" s="29">
        <v>2049189.3952400002</v>
      </c>
      <c r="F92" s="29">
        <v>998051.19393999991</v>
      </c>
      <c r="G92" s="29">
        <v>755790.37415000005</v>
      </c>
      <c r="H92" s="29">
        <v>410058.30776</v>
      </c>
      <c r="I92" s="29">
        <v>163895.76571000001</v>
      </c>
      <c r="J92" s="29"/>
      <c r="K92" s="29">
        <v>7363879.2912999997</v>
      </c>
      <c r="L92" s="29">
        <v>2486290.5184600004</v>
      </c>
      <c r="M92" s="29">
        <v>1773846.3111800002</v>
      </c>
      <c r="N92" s="29">
        <v>873936.06918999995</v>
      </c>
      <c r="O92" s="29">
        <v>661167.00555</v>
      </c>
      <c r="P92" s="29">
        <v>357758.17827999999</v>
      </c>
      <c r="Q92" s="29">
        <v>142100.41487000001</v>
      </c>
      <c r="R92" s="29"/>
      <c r="S92" s="75">
        <v>271360.533413</v>
      </c>
      <c r="T92" s="76">
        <f t="shared" si="13"/>
        <v>2713.6053341299998</v>
      </c>
      <c r="U92" s="76">
        <f t="shared" si="14"/>
        <v>271.36053341299998</v>
      </c>
      <c r="V92" s="76">
        <f t="shared" si="15"/>
        <v>27.136053341300002</v>
      </c>
      <c r="X92" s="33">
        <v>0.42633110284805298</v>
      </c>
      <c r="Y92" s="33">
        <v>0.32045799493789673</v>
      </c>
      <c r="Z92" s="33">
        <v>0.16924038529396057</v>
      </c>
      <c r="AA92" s="33">
        <v>0.12885171175003052</v>
      </c>
      <c r="AB92" s="33">
        <v>6.9072462618350983E-2</v>
      </c>
      <c r="AC92" s="33">
        <v>2.7863182127475739E-2</v>
      </c>
      <c r="AD92" s="33"/>
      <c r="AE92" s="29">
        <f t="shared" si="16"/>
        <v>3349811.3744080067</v>
      </c>
      <c r="AF92" s="29">
        <f t="shared" si="17"/>
        <v>2517934.603625536</v>
      </c>
      <c r="AG92" s="29">
        <f t="shared" si="18"/>
        <v>1329772.4793702364</v>
      </c>
      <c r="AH92" s="29">
        <f t="shared" si="19"/>
        <v>1012426.5547335148</v>
      </c>
      <c r="AI92" s="29">
        <f t="shared" si="20"/>
        <v>542723.06053116918</v>
      </c>
      <c r="AJ92" s="29">
        <f t="shared" si="21"/>
        <v>218929.38093021512</v>
      </c>
    </row>
    <row r="93" spans="1:36" ht="10.5" customHeight="1">
      <c r="A93">
        <f t="shared" si="22"/>
        <v>1999</v>
      </c>
      <c r="B93" s="29">
        <v>8324400</v>
      </c>
      <c r="C93" s="29"/>
      <c r="D93" s="29">
        <v>3076850.7851299997</v>
      </c>
      <c r="E93" s="29">
        <v>2208224.2843400002</v>
      </c>
      <c r="F93" s="29">
        <v>1103155.60454</v>
      </c>
      <c r="G93" s="29">
        <v>841588.85266999993</v>
      </c>
      <c r="H93" s="29">
        <v>459229.77619</v>
      </c>
      <c r="I93" s="29">
        <v>185545.05340999999</v>
      </c>
      <c r="J93" s="29"/>
      <c r="K93" s="29">
        <v>7780247.6102999998</v>
      </c>
      <c r="L93" s="29">
        <v>2649887.2406199998</v>
      </c>
      <c r="M93" s="29">
        <v>1909155.3284700001</v>
      </c>
      <c r="N93" s="29">
        <v>964677.97761000006</v>
      </c>
      <c r="O93" s="29">
        <v>735725.27269000001</v>
      </c>
      <c r="P93" s="29">
        <v>400542.79141000001</v>
      </c>
      <c r="Q93" s="29">
        <v>161259.14971</v>
      </c>
      <c r="R93" s="29"/>
      <c r="S93" s="75">
        <v>268754.99969099998</v>
      </c>
      <c r="T93" s="76">
        <f t="shared" si="13"/>
        <v>2687.5499969099997</v>
      </c>
      <c r="U93" s="76">
        <f t="shared" si="14"/>
        <v>268.75499969099997</v>
      </c>
      <c r="V93" s="76">
        <f t="shared" si="15"/>
        <v>26.875499969099998</v>
      </c>
      <c r="X93" s="33">
        <v>0.4334903359413147</v>
      </c>
      <c r="Y93" s="33">
        <v>0.32799527049064636</v>
      </c>
      <c r="Z93" s="33">
        <v>0.1770617663860321</v>
      </c>
      <c r="AA93" s="33">
        <v>0.1361466646194458</v>
      </c>
      <c r="AB93" s="33">
        <v>7.432931661605835E-2</v>
      </c>
      <c r="AC93" s="33">
        <v>3.094051405787468E-2</v>
      </c>
      <c r="AD93" s="33"/>
      <c r="AE93" s="29">
        <f t="shared" si="16"/>
        <v>3608546.9525098801</v>
      </c>
      <c r="AF93" s="29">
        <f t="shared" si="17"/>
        <v>2730363.8296723366</v>
      </c>
      <c r="AG93" s="29">
        <f t="shared" si="18"/>
        <v>1473932.9681038857</v>
      </c>
      <c r="AH93" s="29">
        <f t="shared" si="19"/>
        <v>1133339.2949581146</v>
      </c>
      <c r="AI93" s="29">
        <f t="shared" si="20"/>
        <v>618746.96323871613</v>
      </c>
      <c r="AJ93" s="29">
        <f t="shared" si="21"/>
        <v>257561.21522337198</v>
      </c>
    </row>
    <row r="94" spans="1:36" ht="10.5" customHeight="1">
      <c r="A94">
        <f t="shared" si="22"/>
        <v>2000</v>
      </c>
      <c r="B94" s="29">
        <v>8907000</v>
      </c>
      <c r="C94" s="29"/>
      <c r="D94" s="29">
        <v>3355073.0647399998</v>
      </c>
      <c r="E94" s="29">
        <v>2421829.3593299999</v>
      </c>
      <c r="F94" s="29">
        <v>1229283.5449299999</v>
      </c>
      <c r="G94" s="29">
        <v>941641.97198999999</v>
      </c>
      <c r="H94" s="29">
        <v>521189.13084</v>
      </c>
      <c r="I94" s="29">
        <v>215236.49244</v>
      </c>
      <c r="J94" s="29"/>
      <c r="K94" s="29">
        <v>8331209.3607999999</v>
      </c>
      <c r="L94" s="29">
        <v>2902067.6571900002</v>
      </c>
      <c r="M94" s="29">
        <v>2103563.3004199998</v>
      </c>
      <c r="N94" s="29">
        <v>1082409.0048199999</v>
      </c>
      <c r="O94" s="29">
        <v>829162.47594999999</v>
      </c>
      <c r="P94" s="29">
        <v>459053.64301999996</v>
      </c>
      <c r="Q94" s="29">
        <v>189424.70079</v>
      </c>
      <c r="R94" s="29"/>
      <c r="S94" s="75">
        <v>277346.238205</v>
      </c>
      <c r="T94" s="76">
        <f t="shared" si="13"/>
        <v>2773.4623820500001</v>
      </c>
      <c r="U94" s="76">
        <f t="shared" si="14"/>
        <v>277.34623820500002</v>
      </c>
      <c r="V94" s="76">
        <f t="shared" si="15"/>
        <v>27.734623820500001</v>
      </c>
      <c r="X94" s="33">
        <v>0.43883827328681946</v>
      </c>
      <c r="Y94" s="33">
        <v>0.33355668187141418</v>
      </c>
      <c r="Z94" s="33">
        <v>0.18267036974430084</v>
      </c>
      <c r="AA94" s="33">
        <v>0.14155307412147522</v>
      </c>
      <c r="AB94" s="33">
        <v>7.8792758285999298E-2</v>
      </c>
      <c r="AC94" s="33">
        <v>3.313862532377243E-2</v>
      </c>
      <c r="AD94" s="33"/>
      <c r="AE94" s="29">
        <f t="shared" si="16"/>
        <v>3908732.5001657009</v>
      </c>
      <c r="AF94" s="29">
        <f t="shared" si="17"/>
        <v>2970989.3654286861</v>
      </c>
      <c r="AG94" s="29">
        <f t="shared" si="18"/>
        <v>1627044.9833124876</v>
      </c>
      <c r="AH94" s="29">
        <f t="shared" si="19"/>
        <v>1260813.2311999798</v>
      </c>
      <c r="AI94" s="29">
        <f t="shared" si="20"/>
        <v>701807.09805339575</v>
      </c>
      <c r="AJ94" s="29">
        <f t="shared" si="21"/>
        <v>295165.73575884104</v>
      </c>
    </row>
    <row r="95" spans="1:36" ht="10.5" customHeight="1">
      <c r="A95">
        <f t="shared" si="22"/>
        <v>2001</v>
      </c>
      <c r="B95" s="29">
        <v>9184600</v>
      </c>
      <c r="C95" s="29"/>
      <c r="D95" s="29">
        <v>3390441.4929899997</v>
      </c>
      <c r="E95" s="29">
        <v>2413528.1899799998</v>
      </c>
      <c r="F95" s="29">
        <v>1180947.3385800002</v>
      </c>
      <c r="G95" s="29">
        <v>891961.37131000008</v>
      </c>
      <c r="H95" s="29">
        <v>474074.85837999999</v>
      </c>
      <c r="I95" s="29">
        <v>188265.04113</v>
      </c>
      <c r="J95" s="29"/>
      <c r="K95" s="29">
        <v>8729500.1023999993</v>
      </c>
      <c r="L95" s="29">
        <v>2963939.40533</v>
      </c>
      <c r="M95" s="29">
        <v>2116997.76198</v>
      </c>
      <c r="N95" s="29">
        <v>1049503.6668799999</v>
      </c>
      <c r="O95" s="29">
        <v>792170.42473999993</v>
      </c>
      <c r="P95" s="29">
        <v>420813.67588</v>
      </c>
      <c r="Q95" s="29">
        <v>166307.28984000001</v>
      </c>
      <c r="R95" s="29"/>
      <c r="S95" s="75">
        <v>282057.04306699999</v>
      </c>
      <c r="T95" s="76">
        <f t="shared" si="13"/>
        <v>2820.57043067</v>
      </c>
      <c r="U95" s="76">
        <f t="shared" si="14"/>
        <v>282.057043067</v>
      </c>
      <c r="V95" s="76">
        <f t="shared" si="15"/>
        <v>28.2057043067</v>
      </c>
      <c r="X95" s="33">
        <v>0.42800971865653992</v>
      </c>
      <c r="Y95" s="33">
        <v>0.32186597585678101</v>
      </c>
      <c r="Z95" s="33">
        <v>0.17269128561019897</v>
      </c>
      <c r="AA95" s="33">
        <v>0.13266661763191223</v>
      </c>
      <c r="AB95" s="33">
        <v>7.2697259485721588E-2</v>
      </c>
      <c r="AC95" s="33">
        <v>3.0174950137734413E-2</v>
      </c>
      <c r="AD95" s="33"/>
      <c r="AE95" s="29">
        <f t="shared" si="16"/>
        <v>3931098.0619728565</v>
      </c>
      <c r="AF95" s="29">
        <f t="shared" si="17"/>
        <v>2956210.2418541908</v>
      </c>
      <c r="AG95" s="29">
        <f t="shared" si="18"/>
        <v>1586100.3818154335</v>
      </c>
      <c r="AH95" s="29">
        <f t="shared" si="19"/>
        <v>1218489.8163020611</v>
      </c>
      <c r="AI95" s="29">
        <f t="shared" si="20"/>
        <v>667695.2494725585</v>
      </c>
      <c r="AJ95" s="29">
        <f t="shared" si="21"/>
        <v>277144.84703503549</v>
      </c>
    </row>
    <row r="96" spans="1:36" ht="10.5" customHeight="1">
      <c r="A96">
        <f t="shared" si="22"/>
        <v>2002</v>
      </c>
      <c r="B96" s="29">
        <v>9436800</v>
      </c>
      <c r="C96" s="29"/>
      <c r="D96" s="29">
        <v>3437856.1595400008</v>
      </c>
      <c r="E96" s="29">
        <v>2424098.2360400003</v>
      </c>
      <c r="F96" s="29">
        <v>1151729.03804</v>
      </c>
      <c r="G96" s="29">
        <v>859299.06907999993</v>
      </c>
      <c r="H96" s="29">
        <v>449540.70586999995</v>
      </c>
      <c r="I96" s="29">
        <v>177626.78969999999</v>
      </c>
      <c r="J96" s="29"/>
      <c r="K96" s="29">
        <v>9046436.1466000006</v>
      </c>
      <c r="L96" s="29">
        <v>3005814.4764099992</v>
      </c>
      <c r="M96" s="29">
        <v>2126534.82455</v>
      </c>
      <c r="N96" s="29">
        <v>1024565.54865</v>
      </c>
      <c r="O96" s="29">
        <v>764834.24283000012</v>
      </c>
      <c r="P96" s="29">
        <v>399806.17680999998</v>
      </c>
      <c r="Q96" s="29">
        <v>156752.05812999999</v>
      </c>
      <c r="R96" s="29"/>
      <c r="S96" s="75">
        <v>287450.545338</v>
      </c>
      <c r="T96" s="76">
        <f t="shared" si="13"/>
        <v>2874.5054533799998</v>
      </c>
      <c r="U96" s="76">
        <f t="shared" si="14"/>
        <v>287.45054533799998</v>
      </c>
      <c r="V96" s="76">
        <f t="shared" si="15"/>
        <v>28.745054533800001</v>
      </c>
      <c r="X96" s="33">
        <v>0.42722529172897339</v>
      </c>
      <c r="Y96" s="33">
        <v>0.32066738605499268</v>
      </c>
      <c r="Z96" s="33">
        <v>0.1705666184425354</v>
      </c>
      <c r="AA96" s="33">
        <v>0.13012129068374634</v>
      </c>
      <c r="AB96" s="33">
        <v>7.0698447525501251E-2</v>
      </c>
      <c r="AC96" s="33">
        <v>2.9363561421632767E-2</v>
      </c>
      <c r="AD96" s="33"/>
      <c r="AE96" s="29">
        <f t="shared" si="16"/>
        <v>4031639.6329879761</v>
      </c>
      <c r="AF96" s="29">
        <f t="shared" si="17"/>
        <v>3026073.9887237549</v>
      </c>
      <c r="AG96" s="29">
        <f t="shared" si="18"/>
        <v>1609603.0649185181</v>
      </c>
      <c r="AH96" s="29">
        <f t="shared" si="19"/>
        <v>1227928.5959243774</v>
      </c>
      <c r="AI96" s="29">
        <f t="shared" si="20"/>
        <v>667167.10960865021</v>
      </c>
      <c r="AJ96" s="29">
        <f t="shared" si="21"/>
        <v>277098.05642366409</v>
      </c>
    </row>
    <row r="97" spans="1:36" ht="10.5" customHeight="1">
      <c r="A97">
        <f t="shared" si="22"/>
        <v>2003</v>
      </c>
      <c r="B97" s="29">
        <v>9864200</v>
      </c>
      <c r="C97" s="29"/>
      <c r="D97" s="29">
        <v>3638200.5848099999</v>
      </c>
      <c r="E97" s="29">
        <v>2569056.1588099999</v>
      </c>
      <c r="F97" s="29">
        <v>1234732.8655099999</v>
      </c>
      <c r="G97" s="29">
        <v>929114.03495</v>
      </c>
      <c r="H97" s="29">
        <v>496733.55409999995</v>
      </c>
      <c r="I97" s="29">
        <v>204638.44203000001</v>
      </c>
      <c r="J97" s="29"/>
      <c r="K97" s="29">
        <v>9423413.7564000003</v>
      </c>
      <c r="L97" s="29">
        <v>3159115.4835700002</v>
      </c>
      <c r="M97" s="29">
        <v>2237369.1080900002</v>
      </c>
      <c r="N97" s="29">
        <v>1088767.1903899999</v>
      </c>
      <c r="O97" s="29">
        <v>817749.01175999991</v>
      </c>
      <c r="P97" s="29">
        <v>435455.29684000002</v>
      </c>
      <c r="Q97" s="29">
        <v>177643.40710000001</v>
      </c>
      <c r="R97" s="29"/>
      <c r="S97" s="75">
        <v>291653.17817799997</v>
      </c>
      <c r="T97" s="76">
        <f t="shared" si="13"/>
        <v>2916.5317817799996</v>
      </c>
      <c r="U97" s="76">
        <f t="shared" si="14"/>
        <v>291.65317817799996</v>
      </c>
      <c r="V97" s="76">
        <f t="shared" si="15"/>
        <v>29.165317817799998</v>
      </c>
      <c r="X97" s="33">
        <v>0.42867556214332581</v>
      </c>
      <c r="Y97" s="33">
        <v>0.32146728038787842</v>
      </c>
      <c r="Z97" s="33">
        <v>0.17203283309936523</v>
      </c>
      <c r="AA97" s="33">
        <v>0.13197872042655945</v>
      </c>
      <c r="AB97" s="33">
        <v>7.2345562279224396E-2</v>
      </c>
      <c r="AC97" s="33">
        <v>3.0830105766654015E-2</v>
      </c>
      <c r="AD97" s="33"/>
      <c r="AE97" s="29">
        <f t="shared" si="16"/>
        <v>4228541.4800941944</v>
      </c>
      <c r="AF97" s="29">
        <f t="shared" si="17"/>
        <v>3171017.5472021103</v>
      </c>
      <c r="AG97" s="29">
        <f t="shared" si="18"/>
        <v>1696966.2722587585</v>
      </c>
      <c r="AH97" s="29">
        <f t="shared" si="19"/>
        <v>1301864.4940316677</v>
      </c>
      <c r="AI97" s="29">
        <f t="shared" si="20"/>
        <v>713631.09543472528</v>
      </c>
      <c r="AJ97" s="29">
        <f t="shared" si="21"/>
        <v>304114.32930342853</v>
      </c>
    </row>
    <row r="98" spans="1:36" ht="10.5" customHeight="1">
      <c r="A98">
        <f t="shared" si="22"/>
        <v>2004</v>
      </c>
      <c r="B98" s="29">
        <v>10540900</v>
      </c>
      <c r="C98" s="29"/>
      <c r="D98" s="29">
        <v>3975012.0161700002</v>
      </c>
      <c r="E98" s="29">
        <v>2843815.8292699996</v>
      </c>
      <c r="F98" s="29">
        <v>1412076.33647</v>
      </c>
      <c r="G98" s="29">
        <v>1076950.49966</v>
      </c>
      <c r="H98" s="29">
        <v>599997.26349000004</v>
      </c>
      <c r="I98" s="29">
        <v>258537.28667999999</v>
      </c>
      <c r="J98" s="29"/>
      <c r="K98" s="29">
        <v>10010814.620999999</v>
      </c>
      <c r="L98" s="29">
        <v>3432613.34491</v>
      </c>
      <c r="M98" s="29">
        <v>2461338.10721</v>
      </c>
      <c r="N98" s="29">
        <v>1235498.1499099999</v>
      </c>
      <c r="O98" s="29">
        <v>940419.74291000003</v>
      </c>
      <c r="P98" s="29">
        <v>520863.15483999997</v>
      </c>
      <c r="Q98" s="29">
        <v>222327.67859</v>
      </c>
      <c r="R98" s="29"/>
      <c r="S98" s="75">
        <v>295074.090532</v>
      </c>
      <c r="T98" s="76">
        <f t="shared" si="13"/>
        <v>2950.7409053199999</v>
      </c>
      <c r="U98" s="76">
        <f t="shared" si="14"/>
        <v>295.07409053200001</v>
      </c>
      <c r="V98" s="76">
        <f t="shared" si="15"/>
        <v>29.5074090532</v>
      </c>
      <c r="X98" s="33">
        <v>0.43901896476745605</v>
      </c>
      <c r="Y98" s="33">
        <v>0.33309602737426758</v>
      </c>
      <c r="Z98" s="33">
        <v>0.18320570886135101</v>
      </c>
      <c r="AA98" s="33">
        <v>0.1422961950302124</v>
      </c>
      <c r="AB98" s="33">
        <v>7.9789280891418457E-2</v>
      </c>
      <c r="AC98" s="33">
        <v>3.4844677895307541E-2</v>
      </c>
      <c r="AD98" s="33"/>
      <c r="AE98" s="29">
        <f t="shared" si="16"/>
        <v>4627655.0057172775</v>
      </c>
      <c r="AF98" s="29">
        <f t="shared" si="17"/>
        <v>3511131.9149494171</v>
      </c>
      <c r="AG98" s="29">
        <f t="shared" si="18"/>
        <v>1931153.0565366149</v>
      </c>
      <c r="AH98" s="29">
        <f t="shared" si="19"/>
        <v>1499929.9621939659</v>
      </c>
      <c r="AI98" s="29">
        <f t="shared" si="20"/>
        <v>841050.83094835281</v>
      </c>
      <c r="AJ98" s="29">
        <f t="shared" si="21"/>
        <v>367294.26522664726</v>
      </c>
    </row>
    <row r="99" spans="1:36" ht="10.5" customHeight="1">
      <c r="A99">
        <f t="shared" si="22"/>
        <v>2005</v>
      </c>
      <c r="B99" s="29">
        <v>11239800</v>
      </c>
      <c r="C99" s="29"/>
      <c r="D99" s="29">
        <v>4329861.22468</v>
      </c>
      <c r="E99" s="29">
        <v>3140782.0377799999</v>
      </c>
      <c r="F99" s="29">
        <v>1614421.8362799999</v>
      </c>
      <c r="G99" s="29">
        <v>1253245.9473600001</v>
      </c>
      <c r="H99" s="29">
        <v>714220.75985000003</v>
      </c>
      <c r="I99" s="29">
        <v>313195.42145999998</v>
      </c>
      <c r="J99" s="29"/>
      <c r="K99" s="29">
        <v>10581716.026000001</v>
      </c>
      <c r="L99" s="29">
        <v>3706883.4926800001</v>
      </c>
      <c r="M99" s="29">
        <v>2694099.7148799999</v>
      </c>
      <c r="N99" s="29">
        <v>1398519.09078</v>
      </c>
      <c r="O99" s="29">
        <v>1083619.59186</v>
      </c>
      <c r="P99" s="29">
        <v>614642.13245999999</v>
      </c>
      <c r="Q99" s="29">
        <v>267256.05661000003</v>
      </c>
      <c r="R99" s="29"/>
      <c r="S99" s="75">
        <v>294872.52815599996</v>
      </c>
      <c r="T99" s="76">
        <f t="shared" si="13"/>
        <v>2948.7252815599995</v>
      </c>
      <c r="U99" s="76">
        <f t="shared" si="14"/>
        <v>294.87252815599999</v>
      </c>
      <c r="V99" s="76">
        <f t="shared" si="15"/>
        <v>29.487252815599998</v>
      </c>
      <c r="X99" s="33">
        <v>0.45064434409141541</v>
      </c>
      <c r="Y99" s="33">
        <v>0.34514808654785156</v>
      </c>
      <c r="Z99" s="33">
        <v>0.19373917579650879</v>
      </c>
      <c r="AA99" s="33">
        <v>0.15224167704582214</v>
      </c>
      <c r="AB99" s="33">
        <v>8.7792038917541504E-2</v>
      </c>
      <c r="AC99" s="33">
        <v>3.8700621575117111E-2</v>
      </c>
      <c r="AD99" s="33"/>
      <c r="AE99" s="29">
        <f t="shared" si="16"/>
        <v>5065152.2987186909</v>
      </c>
      <c r="AF99" s="29">
        <f t="shared" si="17"/>
        <v>3879395.463180542</v>
      </c>
      <c r="AG99" s="29">
        <f t="shared" si="18"/>
        <v>2177589.5881175995</v>
      </c>
      <c r="AH99" s="29">
        <f t="shared" si="19"/>
        <v>1711166.0016596317</v>
      </c>
      <c r="AI99" s="29">
        <f t="shared" si="20"/>
        <v>986764.959025383</v>
      </c>
      <c r="AJ99" s="29">
        <f t="shared" si="21"/>
        <v>434987.24638000131</v>
      </c>
    </row>
    <row r="100" spans="1:36" ht="10.5" customHeight="1">
      <c r="A100">
        <f t="shared" si="22"/>
        <v>2006</v>
      </c>
      <c r="B100" s="29">
        <v>12004800</v>
      </c>
      <c r="C100" s="29"/>
      <c r="D100" s="29">
        <v>4690509.7206600001</v>
      </c>
      <c r="E100" s="29">
        <v>3417524.27086</v>
      </c>
      <c r="F100" s="29">
        <v>1781379.4785600002</v>
      </c>
      <c r="G100" s="29">
        <v>1382927.37387</v>
      </c>
      <c r="H100" s="29">
        <v>784976.16859000002</v>
      </c>
      <c r="I100" s="29">
        <v>336463.21084000001</v>
      </c>
      <c r="J100" s="29"/>
      <c r="K100" s="29">
        <v>11289171.323000001</v>
      </c>
      <c r="L100" s="29">
        <v>4020926.5967699997</v>
      </c>
      <c r="M100" s="29">
        <v>2932044.5963699999</v>
      </c>
      <c r="N100" s="29">
        <v>1537490.08347</v>
      </c>
      <c r="O100" s="29">
        <v>1190909.3592699999</v>
      </c>
      <c r="P100" s="29">
        <v>672504.43203999999</v>
      </c>
      <c r="Q100" s="29">
        <v>285379.96194000001</v>
      </c>
      <c r="R100" s="29"/>
      <c r="S100" s="75">
        <v>298431.42885500001</v>
      </c>
      <c r="T100" s="76">
        <f t="shared" si="13"/>
        <v>2984.3142885500001</v>
      </c>
      <c r="U100" s="76">
        <f t="shared" si="14"/>
        <v>298.43142885500004</v>
      </c>
      <c r="V100" s="76">
        <f t="shared" si="15"/>
        <v>29.843142885500001</v>
      </c>
      <c r="X100" s="33">
        <v>0.46031272411346436</v>
      </c>
      <c r="Y100" s="33">
        <v>0.35475638508796692</v>
      </c>
      <c r="Z100" s="33">
        <v>0.20098970830440521</v>
      </c>
      <c r="AA100" s="33">
        <v>0.15818881988525391</v>
      </c>
      <c r="AB100" s="33">
        <v>9.1095596551895142E-2</v>
      </c>
      <c r="AC100" s="33">
        <v>3.9919666945934296E-2</v>
      </c>
      <c r="AD100" s="33"/>
      <c r="AE100" s="29">
        <f t="shared" si="16"/>
        <v>5525962.1904373169</v>
      </c>
      <c r="AF100" s="29">
        <f t="shared" si="17"/>
        <v>4258779.4517040253</v>
      </c>
      <c r="AG100" s="29">
        <f t="shared" si="18"/>
        <v>2412841.2502527237</v>
      </c>
      <c r="AH100" s="29">
        <f t="shared" si="19"/>
        <v>1899025.1449584961</v>
      </c>
      <c r="AI100" s="29">
        <f t="shared" si="20"/>
        <v>1093584.4174861908</v>
      </c>
      <c r="AJ100" s="29">
        <f t="shared" si="21"/>
        <v>479227.61775255203</v>
      </c>
    </row>
    <row r="101" spans="1:36" ht="10.5" customHeight="1">
      <c r="A101">
        <f t="shared" si="22"/>
        <v>2007</v>
      </c>
      <c r="B101" s="29">
        <v>12321400</v>
      </c>
      <c r="C101" s="29"/>
      <c r="D101" s="29">
        <v>4782013.4868199993</v>
      </c>
      <c r="E101" s="29">
        <v>3489221.6137200003</v>
      </c>
      <c r="F101" s="29">
        <v>1820064.2099199998</v>
      </c>
      <c r="G101" s="29">
        <v>1409850.3597799998</v>
      </c>
      <c r="H101" s="29">
        <v>799395.26092999999</v>
      </c>
      <c r="I101" s="29">
        <v>347433.35686</v>
      </c>
      <c r="J101" s="29"/>
      <c r="K101" s="29">
        <v>11659787.603</v>
      </c>
      <c r="L101" s="29">
        <v>4118449.49022</v>
      </c>
      <c r="M101" s="29">
        <v>3003979.7369200001</v>
      </c>
      <c r="N101" s="29">
        <v>1576734.9981199999</v>
      </c>
      <c r="O101" s="29">
        <v>1219184.53789</v>
      </c>
      <c r="P101" s="29">
        <v>688150.06499999994</v>
      </c>
      <c r="Q101" s="29">
        <v>296487.11622000003</v>
      </c>
      <c r="R101" s="29"/>
      <c r="S101" s="75">
        <v>301749.05779600004</v>
      </c>
      <c r="T101" s="76">
        <f t="shared" si="13"/>
        <v>3017.4905779600003</v>
      </c>
      <c r="U101" s="76">
        <f t="shared" si="14"/>
        <v>301.74905779600005</v>
      </c>
      <c r="V101" s="76">
        <f t="shared" si="15"/>
        <v>30.174905779600007</v>
      </c>
      <c r="X101" s="33">
        <v>0.45795136690139771</v>
      </c>
      <c r="Y101" s="33">
        <v>0.35207325220108032</v>
      </c>
      <c r="Z101" s="33">
        <v>0.19863261282444</v>
      </c>
      <c r="AA101" s="33">
        <v>0.1561838835477829</v>
      </c>
      <c r="AB101" s="33">
        <v>9.057297557592392E-2</v>
      </c>
      <c r="AC101" s="33">
        <v>4.1150759905576706E-2</v>
      </c>
      <c r="AD101" s="33"/>
      <c r="AE101" s="29">
        <f t="shared" si="16"/>
        <v>5642601.9721388817</v>
      </c>
      <c r="AF101" s="29">
        <f t="shared" si="17"/>
        <v>4338035.3696703911</v>
      </c>
      <c r="AG101" s="29">
        <f t="shared" si="18"/>
        <v>2447431.875655055</v>
      </c>
      <c r="AH101" s="29">
        <f t="shared" si="19"/>
        <v>1924404.1027456522</v>
      </c>
      <c r="AI101" s="29">
        <f t="shared" si="20"/>
        <v>1115985.861261189</v>
      </c>
      <c r="AJ101" s="29">
        <f t="shared" si="21"/>
        <v>507034.97310057282</v>
      </c>
    </row>
    <row r="102" spans="1:36" ht="10.5" customHeight="1">
      <c r="A102">
        <f t="shared" si="22"/>
        <v>2008</v>
      </c>
      <c r="B102" s="29">
        <v>12427800</v>
      </c>
      <c r="C102" s="29"/>
      <c r="D102" s="29">
        <v>4799076.8775200006</v>
      </c>
      <c r="E102" s="29">
        <v>3458206.6574200001</v>
      </c>
      <c r="F102" s="29">
        <v>1751057.1305200001</v>
      </c>
      <c r="G102" s="29">
        <v>1343042.2751199999</v>
      </c>
      <c r="H102" s="29">
        <v>749541.46149999998</v>
      </c>
      <c r="I102" s="29">
        <v>326612.15220999997</v>
      </c>
      <c r="J102" s="29"/>
      <c r="K102" s="29">
        <v>12166163.85</v>
      </c>
      <c r="L102" s="29">
        <v>4189949.4372200007</v>
      </c>
      <c r="M102" s="29">
        <v>3018563.06972</v>
      </c>
      <c r="N102" s="29">
        <v>1540659.9817199998</v>
      </c>
      <c r="O102" s="29">
        <v>1179016.5209599999</v>
      </c>
      <c r="P102" s="29">
        <v>656143.25258999993</v>
      </c>
      <c r="Q102" s="29">
        <v>283495.35845</v>
      </c>
      <c r="R102" s="29"/>
      <c r="S102" s="75">
        <v>304577.11416500004</v>
      </c>
      <c r="T102" s="76">
        <f t="shared" si="13"/>
        <v>3045.7711416500006</v>
      </c>
      <c r="U102" s="76">
        <f t="shared" si="14"/>
        <v>304.57711416500007</v>
      </c>
      <c r="V102" s="76">
        <f t="shared" si="15"/>
        <v>30.457711416500004</v>
      </c>
      <c r="X102" s="33">
        <v>0.45311763882637024</v>
      </c>
      <c r="Y102" s="33">
        <v>0.34683066606521606</v>
      </c>
      <c r="Z102" s="33">
        <v>0.19522307813167572</v>
      </c>
      <c r="AA102" s="33">
        <v>0.15363796055316925</v>
      </c>
      <c r="AB102" s="33">
        <v>8.9385084807872772E-2</v>
      </c>
      <c r="AC102" s="33">
        <v>4.1182063519954681E-2</v>
      </c>
      <c r="AD102" s="33"/>
      <c r="AE102" s="29">
        <f t="shared" si="16"/>
        <v>5631255.3918063641</v>
      </c>
      <c r="AF102" s="29">
        <f t="shared" si="17"/>
        <v>4310342.1517252922</v>
      </c>
      <c r="AG102" s="29">
        <f t="shared" si="18"/>
        <v>2426193.3704048395</v>
      </c>
      <c r="AH102" s="29">
        <f t="shared" si="19"/>
        <v>1909381.8461626768</v>
      </c>
      <c r="AI102" s="29">
        <f t="shared" si="20"/>
        <v>1110859.9569752812</v>
      </c>
      <c r="AJ102" s="29">
        <f t="shared" si="21"/>
        <v>511802.44901329279</v>
      </c>
    </row>
    <row r="103" spans="1:36" ht="10.5" customHeight="1">
      <c r="A103">
        <f t="shared" si="22"/>
        <v>2009</v>
      </c>
      <c r="B103" s="29">
        <v>12126100</v>
      </c>
      <c r="C103" s="29"/>
      <c r="D103" s="29">
        <v>4620566.7893900005</v>
      </c>
      <c r="E103" s="29">
        <v>3281233.22689</v>
      </c>
      <c r="F103" s="29">
        <v>1599472.6769900001</v>
      </c>
      <c r="G103" s="29">
        <v>1209128.8361499999</v>
      </c>
      <c r="H103" s="29">
        <v>667908.25254000002</v>
      </c>
      <c r="I103" s="29">
        <v>298833.53005</v>
      </c>
      <c r="J103" s="29"/>
      <c r="K103" s="29">
        <v>12076389.459000001</v>
      </c>
      <c r="L103" s="29">
        <v>4046806.5078900005</v>
      </c>
      <c r="M103" s="29">
        <v>2869745.9858900001</v>
      </c>
      <c r="N103" s="29">
        <v>1407063.6960900002</v>
      </c>
      <c r="O103" s="29">
        <v>1061040.9780000001</v>
      </c>
      <c r="P103" s="29">
        <v>583381.92110000004</v>
      </c>
      <c r="Q103" s="29">
        <v>258294.62223000001</v>
      </c>
      <c r="R103" s="29"/>
      <c r="S103" s="75">
        <v>306932.850033</v>
      </c>
      <c r="T103" s="76">
        <f t="shared" si="13"/>
        <v>3069.3285003300002</v>
      </c>
      <c r="U103" s="76">
        <f t="shared" si="14"/>
        <v>306.93285003300002</v>
      </c>
      <c r="V103" s="76">
        <f t="shared" si="15"/>
        <v>30.693285003300002</v>
      </c>
      <c r="X103" s="33">
        <v>0.44344392418861389</v>
      </c>
      <c r="Y103" s="33">
        <v>0.33536484837532043</v>
      </c>
      <c r="Z103" s="33">
        <v>0.1854109913110733</v>
      </c>
      <c r="AA103" s="33">
        <v>0.14564803242683411</v>
      </c>
      <c r="AB103" s="33">
        <v>8.552965521812439E-2</v>
      </c>
      <c r="AC103" s="33">
        <v>4.1645940393209457E-2</v>
      </c>
      <c r="AD103" s="33"/>
      <c r="AE103" s="29">
        <f t="shared" ref="AE103:AE108" si="23">X103*$B103</f>
        <v>5377245.3691035509</v>
      </c>
      <c r="AF103" s="29">
        <f t="shared" ref="AF103:AF108" si="24">Y103*$B103</f>
        <v>4066667.6878839731</v>
      </c>
      <c r="AG103" s="29">
        <f t="shared" ref="AG103:AG108" si="25">Z103*$B103</f>
        <v>2248312.221737206</v>
      </c>
      <c r="AH103" s="29">
        <f t="shared" ref="AH103:AH108" si="26">AA103*$B103</f>
        <v>1766142.6060110331</v>
      </c>
      <c r="AI103" s="29">
        <f t="shared" ref="AI103:AI108" si="27">AB103*$B103</f>
        <v>1037141.1521404982</v>
      </c>
      <c r="AJ103" s="29">
        <f t="shared" ref="AJ103:AJ108" si="28">AC103*$B103</f>
        <v>505002.8378020972</v>
      </c>
    </row>
    <row r="104" spans="1:36" ht="10.5" customHeight="1">
      <c r="A104">
        <f t="shared" si="22"/>
        <v>2010</v>
      </c>
      <c r="B104" s="29">
        <v>12739500</v>
      </c>
      <c r="C104" s="29"/>
      <c r="D104" s="29">
        <v>5021112.8433299996</v>
      </c>
      <c r="E104" s="29">
        <v>3626278.5894299997</v>
      </c>
      <c r="F104" s="29">
        <v>1830072.14323</v>
      </c>
      <c r="G104" s="29">
        <v>1406654.6901799999</v>
      </c>
      <c r="H104" s="29">
        <v>799688.53333999997</v>
      </c>
      <c r="I104" s="29">
        <v>367884.26130999997</v>
      </c>
      <c r="J104" s="29"/>
      <c r="K104" s="29">
        <v>12747598.442</v>
      </c>
      <c r="L104" s="29">
        <v>4412991.0635900004</v>
      </c>
      <c r="M104" s="29">
        <v>3174546.8370900005</v>
      </c>
      <c r="N104" s="29">
        <v>1607985.7409900001</v>
      </c>
      <c r="O104" s="29">
        <v>1232811.1912700001</v>
      </c>
      <c r="P104" s="29">
        <v>696883.18295000005</v>
      </c>
      <c r="Q104" s="29">
        <v>317020.26163000002</v>
      </c>
      <c r="R104" s="29"/>
      <c r="S104" s="75">
        <v>310113.02631700004</v>
      </c>
      <c r="T104" s="76">
        <f t="shared" si="13"/>
        <v>3101.1302631700005</v>
      </c>
      <c r="U104" s="76">
        <f t="shared" si="14"/>
        <v>310.11302631700005</v>
      </c>
      <c r="V104" s="76">
        <f t="shared" si="15"/>
        <v>31.011302631700005</v>
      </c>
      <c r="X104" s="33">
        <v>0.45755696296691895</v>
      </c>
      <c r="Y104" s="33">
        <v>0.34965029358863831</v>
      </c>
      <c r="Z104" s="33">
        <v>0.19799049198627472</v>
      </c>
      <c r="AA104" s="33">
        <v>0.15716461837291718</v>
      </c>
      <c r="AB104" s="33">
        <v>9.4791673123836517E-2</v>
      </c>
      <c r="AC104" s="33">
        <v>4.6924613416194916E-2</v>
      </c>
      <c r="AD104" s="33"/>
      <c r="AE104" s="29">
        <f t="shared" si="23"/>
        <v>5829046.9297170639</v>
      </c>
      <c r="AF104" s="29">
        <f t="shared" si="24"/>
        <v>4454369.9151724577</v>
      </c>
      <c r="AG104" s="29">
        <f t="shared" si="25"/>
        <v>2522299.8726591468</v>
      </c>
      <c r="AH104" s="29">
        <f t="shared" si="26"/>
        <v>2002198.6557617784</v>
      </c>
      <c r="AI104" s="29">
        <f t="shared" si="27"/>
        <v>1207598.5197611153</v>
      </c>
      <c r="AJ104" s="29">
        <f t="shared" si="28"/>
        <v>597796.11261561513</v>
      </c>
    </row>
    <row r="105" spans="1:36" ht="10.5" customHeight="1">
      <c r="A105">
        <f t="shared" si="22"/>
        <v>2011</v>
      </c>
      <c r="B105" s="29">
        <v>13352300</v>
      </c>
      <c r="C105" s="29"/>
      <c r="D105" s="29">
        <v>5264337.3927800013</v>
      </c>
      <c r="E105" s="29">
        <v>3776274.6993799997</v>
      </c>
      <c r="F105" s="29">
        <v>1860728.4593799999</v>
      </c>
      <c r="G105" s="29">
        <v>1409353.45581</v>
      </c>
      <c r="H105" s="29">
        <v>774452.47349</v>
      </c>
      <c r="I105" s="29">
        <v>334097.29439</v>
      </c>
      <c r="J105" s="29"/>
      <c r="K105" s="29">
        <v>13402008.993000001</v>
      </c>
      <c r="L105" s="29">
        <v>4660018.1897299998</v>
      </c>
      <c r="M105" s="29">
        <v>3330482.36313</v>
      </c>
      <c r="N105" s="29">
        <v>1645499.0602299999</v>
      </c>
      <c r="O105" s="29">
        <v>1243277.2328499998</v>
      </c>
      <c r="P105" s="29">
        <v>678402.05429999996</v>
      </c>
      <c r="Q105" s="29">
        <v>289177.51533999998</v>
      </c>
      <c r="R105" s="29"/>
      <c r="S105" s="75">
        <v>313017.51636699995</v>
      </c>
      <c r="T105" s="76">
        <f t="shared" si="13"/>
        <v>3130.1751636699996</v>
      </c>
      <c r="U105" s="76">
        <f t="shared" si="14"/>
        <v>313.01751636699993</v>
      </c>
      <c r="V105" s="76">
        <f t="shared" si="15"/>
        <v>31.301751636699997</v>
      </c>
      <c r="X105" s="33">
        <v>0.45930874347686768</v>
      </c>
      <c r="Y105" s="33">
        <v>0.35027474164962769</v>
      </c>
      <c r="Z105" s="33">
        <v>0.19602005183696747</v>
      </c>
      <c r="AA105" s="33">
        <v>0.15446817874908447</v>
      </c>
      <c r="AB105" s="33">
        <v>9.0769477188587189E-2</v>
      </c>
      <c r="AC105" s="33">
        <v>4.2207479476928711E-2</v>
      </c>
      <c r="AD105" s="33"/>
      <c r="AE105" s="29">
        <f t="shared" si="23"/>
        <v>6132828.1355261803</v>
      </c>
      <c r="AF105" s="29">
        <f t="shared" si="24"/>
        <v>4676973.4329283237</v>
      </c>
      <c r="AG105" s="29">
        <f t="shared" si="25"/>
        <v>2617318.5381427407</v>
      </c>
      <c r="AH105" s="29">
        <f t="shared" si="26"/>
        <v>2062505.4631114006</v>
      </c>
      <c r="AI105" s="29">
        <f t="shared" si="27"/>
        <v>1211981.2902651727</v>
      </c>
      <c r="AJ105" s="29">
        <f t="shared" si="28"/>
        <v>563566.92821979523</v>
      </c>
    </row>
    <row r="106" spans="1:36" ht="10.5" customHeight="1">
      <c r="A106">
        <f t="shared" si="22"/>
        <v>2012</v>
      </c>
      <c r="B106" s="29">
        <v>14061900</v>
      </c>
      <c r="C106" s="29"/>
      <c r="D106" s="29">
        <v>5722001.0762399994</v>
      </c>
      <c r="E106" s="29">
        <v>4173544.8691399996</v>
      </c>
      <c r="F106" s="29">
        <v>2152860.68194</v>
      </c>
      <c r="G106" s="29">
        <v>1671363.1113200001</v>
      </c>
      <c r="H106" s="29">
        <v>968176.11713999999</v>
      </c>
      <c r="I106" s="29">
        <v>441307.41278999997</v>
      </c>
      <c r="J106" s="29"/>
      <c r="K106" s="29">
        <v>14006849.846999999</v>
      </c>
      <c r="L106" s="29">
        <v>5062151.5532499999</v>
      </c>
      <c r="M106" s="29">
        <v>3676346.7957500005</v>
      </c>
      <c r="N106" s="29">
        <v>1899347.91665</v>
      </c>
      <c r="O106" s="29">
        <v>1470186.0971599999</v>
      </c>
      <c r="P106" s="29">
        <v>846072.79131</v>
      </c>
      <c r="Q106" s="29">
        <v>382583.28260999999</v>
      </c>
      <c r="R106" s="29"/>
      <c r="S106" s="75">
        <v>316425.41037200001</v>
      </c>
      <c r="T106" s="76">
        <f t="shared" si="13"/>
        <v>3164.2541037200003</v>
      </c>
      <c r="U106" s="76">
        <f t="shared" si="14"/>
        <v>316.42541037200004</v>
      </c>
      <c r="V106" s="76">
        <f t="shared" si="15"/>
        <v>31.642541037200004</v>
      </c>
      <c r="X106" s="33">
        <v>0.47125700116157532</v>
      </c>
      <c r="Y106" s="33">
        <v>0.3630620539188385</v>
      </c>
      <c r="Z106" s="33">
        <v>0.20762035250663757</v>
      </c>
      <c r="AA106" s="33">
        <v>0.16497442126274109</v>
      </c>
      <c r="AB106" s="33">
        <v>9.8685368895530701E-2</v>
      </c>
      <c r="AC106" s="33">
        <v>4.6959180384874344E-2</v>
      </c>
      <c r="AD106" s="33"/>
      <c r="AE106" s="29">
        <f t="shared" si="23"/>
        <v>6626768.824633956</v>
      </c>
      <c r="AF106" s="29">
        <f t="shared" si="24"/>
        <v>5105342.2960013151</v>
      </c>
      <c r="AG106" s="29">
        <f t="shared" si="25"/>
        <v>2919536.6349130869</v>
      </c>
      <c r="AH106" s="29">
        <f t="shared" si="26"/>
        <v>2319853.8143545389</v>
      </c>
      <c r="AI106" s="29">
        <f t="shared" si="27"/>
        <v>1387703.7888720632</v>
      </c>
      <c r="AJ106" s="29">
        <f t="shared" si="28"/>
        <v>660335.29865406454</v>
      </c>
    </row>
    <row r="107" spans="1:36" ht="10.5" customHeight="1">
      <c r="A107">
        <f t="shared" si="22"/>
        <v>2013</v>
      </c>
      <c r="B107" s="29">
        <v>14444800</v>
      </c>
      <c r="C107" s="29"/>
      <c r="D107" s="29">
        <v>5724645.1806199998</v>
      </c>
      <c r="E107" s="29">
        <v>4103719.0633199993</v>
      </c>
      <c r="F107" s="29">
        <v>2021164.1751200003</v>
      </c>
      <c r="G107" s="29">
        <v>1537003.571</v>
      </c>
      <c r="H107" s="29">
        <v>855703.47751999996</v>
      </c>
      <c r="I107" s="29">
        <v>373355.49239999999</v>
      </c>
      <c r="J107" s="29"/>
      <c r="K107" s="29">
        <v>14220106.755999999</v>
      </c>
      <c r="L107" s="29">
        <v>5016290.4934999999</v>
      </c>
      <c r="M107" s="29">
        <v>3582741.7291999999</v>
      </c>
      <c r="N107" s="29">
        <v>1767332.8539</v>
      </c>
      <c r="O107" s="29">
        <v>1337572.99865</v>
      </c>
      <c r="P107" s="29">
        <v>737111.44478999998</v>
      </c>
      <c r="Q107" s="29">
        <v>318016.71496999997</v>
      </c>
      <c r="R107" s="29"/>
      <c r="S107" s="75">
        <v>319333.74169299996</v>
      </c>
      <c r="T107" s="76">
        <f t="shared" si="13"/>
        <v>3193.3374169299996</v>
      </c>
      <c r="U107" s="76">
        <f t="shared" si="14"/>
        <v>319.33374169299998</v>
      </c>
      <c r="V107" s="76">
        <f t="shared" si="15"/>
        <v>31.933374169299999</v>
      </c>
      <c r="X107" s="33">
        <v>0.4629962146282196</v>
      </c>
      <c r="Y107" s="33">
        <v>0.35354605317115784</v>
      </c>
      <c r="Z107" s="33">
        <v>0.19579383730888367</v>
      </c>
      <c r="AA107" s="33">
        <v>0.15340355038642883</v>
      </c>
      <c r="AB107" s="33">
        <v>8.9316248893737793E-2</v>
      </c>
      <c r="AC107" s="33">
        <v>4.1901689022779465E-2</v>
      </c>
      <c r="AD107" s="33"/>
      <c r="AE107" s="29">
        <f t="shared" si="23"/>
        <v>6687887.7210617065</v>
      </c>
      <c r="AF107" s="29">
        <f t="shared" si="24"/>
        <v>5106902.0288467407</v>
      </c>
      <c r="AG107" s="29">
        <f t="shared" si="25"/>
        <v>2828202.8211593628</v>
      </c>
      <c r="AH107" s="29">
        <f t="shared" si="26"/>
        <v>2215883.6046218872</v>
      </c>
      <c r="AI107" s="29">
        <f t="shared" si="27"/>
        <v>1290155.3520202637</v>
      </c>
      <c r="AJ107" s="29">
        <f t="shared" si="28"/>
        <v>605261.51759624481</v>
      </c>
    </row>
    <row r="108" spans="1:36" ht="10.5" customHeight="1">
      <c r="A108">
        <f t="shared" si="22"/>
        <v>2014</v>
      </c>
      <c r="B108" s="29">
        <v>15153900</v>
      </c>
      <c r="C108" s="29"/>
      <c r="D108" s="29">
        <v>6048632.9333499987</v>
      </c>
      <c r="E108" s="29">
        <v>4366145.4700500006</v>
      </c>
      <c r="F108" s="29">
        <v>2172644.9588500001</v>
      </c>
      <c r="G108" s="29">
        <v>1660876.9585900002</v>
      </c>
      <c r="H108" s="29">
        <v>929556.27448000002</v>
      </c>
      <c r="I108" s="29">
        <v>405766.17228</v>
      </c>
      <c r="J108" s="29"/>
      <c r="K108" s="29">
        <v>14916211.109999999</v>
      </c>
      <c r="L108" s="29">
        <v>5301839.5293200007</v>
      </c>
      <c r="M108" s="29">
        <v>3813519.2695199996</v>
      </c>
      <c r="N108" s="29">
        <v>1903506.9368199999</v>
      </c>
      <c r="O108" s="29">
        <v>1449200.2245299998</v>
      </c>
      <c r="P108" s="29">
        <v>804628.09831999999</v>
      </c>
      <c r="Q108" s="29">
        <v>346761.25280000002</v>
      </c>
      <c r="R108" s="29"/>
      <c r="S108" s="75">
        <v>321400.41005999997</v>
      </c>
      <c r="T108" s="76">
        <f t="shared" si="13"/>
        <v>3214.0041005999997</v>
      </c>
      <c r="U108" s="76">
        <f t="shared" si="14"/>
        <v>321.40041005999996</v>
      </c>
      <c r="V108" s="76">
        <f t="shared" si="15"/>
        <v>32.140041005999997</v>
      </c>
      <c r="X108" s="33">
        <v>0.47002100944519043</v>
      </c>
      <c r="Y108" s="33">
        <v>0.36070999503135681</v>
      </c>
      <c r="Z108" s="33">
        <v>0.20187675952911377</v>
      </c>
      <c r="AA108" s="33">
        <v>0.15879519283771515</v>
      </c>
      <c r="AB108" s="33">
        <v>9.3181788921356201E-2</v>
      </c>
      <c r="AC108" s="33">
        <v>4.3522410094738007E-2</v>
      </c>
      <c r="AD108" s="33"/>
      <c r="AE108" s="29">
        <f t="shared" si="23"/>
        <v>7122651.3750314713</v>
      </c>
      <c r="AF108" s="29">
        <f t="shared" si="24"/>
        <v>5466163.193705678</v>
      </c>
      <c r="AG108" s="29">
        <f t="shared" si="25"/>
        <v>3059220.2262282372</v>
      </c>
      <c r="AH108" s="29">
        <f t="shared" si="26"/>
        <v>2406366.4727434516</v>
      </c>
      <c r="AI108" s="29">
        <f t="shared" si="27"/>
        <v>1412067.5111353397</v>
      </c>
      <c r="AJ108" s="29">
        <f t="shared" si="28"/>
        <v>659534.25033465028</v>
      </c>
    </row>
    <row r="109" spans="1:36" ht="10.5" customHeight="1">
      <c r="A109">
        <f t="shared" si="22"/>
        <v>2015</v>
      </c>
      <c r="B109" s="29">
        <v>15665300</v>
      </c>
      <c r="C109" s="29"/>
      <c r="D109" s="29">
        <v>6247592.2490699999</v>
      </c>
      <c r="E109" s="29">
        <v>4499691.8122699996</v>
      </c>
      <c r="F109" s="29">
        <v>2231272.3859700002</v>
      </c>
      <c r="G109" s="29">
        <v>1704033.389</v>
      </c>
      <c r="H109" s="29">
        <v>951096.82621000009</v>
      </c>
      <c r="I109" s="29">
        <v>417377.83477999998</v>
      </c>
      <c r="J109" s="29"/>
      <c r="K109" s="29">
        <v>15572842.630000001</v>
      </c>
      <c r="L109" s="29">
        <v>5501106.4319700003</v>
      </c>
      <c r="M109" s="29">
        <v>3946821.9427700001</v>
      </c>
      <c r="N109" s="29">
        <v>1961893.65747</v>
      </c>
      <c r="O109" s="29">
        <v>1490987.39341</v>
      </c>
      <c r="P109" s="29">
        <v>825246.79665000003</v>
      </c>
      <c r="Q109" s="29">
        <v>357530.89977000002</v>
      </c>
      <c r="R109" s="29"/>
      <c r="S109" s="75">
        <v>324108.27535899996</v>
      </c>
      <c r="T109" s="76">
        <f t="shared" si="13"/>
        <v>3241.0827535899998</v>
      </c>
      <c r="U109" s="76">
        <f t="shared" si="14"/>
        <v>324.10827535899995</v>
      </c>
      <c r="V109" s="76">
        <f t="shared" si="15"/>
        <v>32.410827535899998</v>
      </c>
    </row>
    <row r="110" spans="1:36">
      <c r="B110" s="34"/>
    </row>
    <row r="111" spans="1:36">
      <c r="B111" s="34"/>
      <c r="W111" s="47"/>
    </row>
    <row r="112" spans="1:36">
      <c r="A112" s="31" t="s">
        <v>37</v>
      </c>
      <c r="W112" s="47"/>
    </row>
    <row r="115" spans="2:2">
      <c r="B115" s="66"/>
    </row>
    <row r="116" spans="2:2">
      <c r="B116" s="66"/>
    </row>
  </sheetData>
  <mergeCells count="8">
    <mergeCell ref="D3:I3"/>
    <mergeCell ref="D2:J2"/>
    <mergeCell ref="X3:AC3"/>
    <mergeCell ref="K2:Q2"/>
    <mergeCell ref="K3:Q3"/>
    <mergeCell ref="X2:AJ2"/>
    <mergeCell ref="S3:V3"/>
    <mergeCell ref="AE3:AJ3"/>
  </mergeCells>
  <hyperlinks>
    <hyperlink ref="F1" location="Index!A1" display="index"/>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
  <sheetViews>
    <sheetView workbookViewId="0">
      <selection activeCell="H46" sqref="H46"/>
    </sheetView>
  </sheetViews>
  <sheetFormatPr defaultRowHeight="14.4"/>
  <cols>
    <col min="1" max="1" width="17.109375" customWidth="1"/>
    <col min="2" max="4" width="9" customWidth="1"/>
    <col min="5" max="5" width="1.6640625" customWidth="1"/>
    <col min="6" max="7" width="8.88671875" customWidth="1"/>
    <col min="8" max="8" width="9.44140625" customWidth="1"/>
    <col min="9" max="9" width="1.88671875" customWidth="1"/>
    <col min="10" max="11" width="8.88671875" customWidth="1"/>
    <col min="12" max="12" width="9.33203125" customWidth="1"/>
    <col min="13" max="13" width="2" customWidth="1"/>
    <col min="17" max="17" width="5" customWidth="1"/>
  </cols>
  <sheetData>
    <row r="1" spans="1:16">
      <c r="A1" s="96" t="s">
        <v>129</v>
      </c>
      <c r="K1" s="99" t="s">
        <v>143</v>
      </c>
    </row>
    <row r="2" spans="1:16" ht="15" thickBot="1"/>
    <row r="3" spans="1:16" ht="15" thickTop="1">
      <c r="A3" s="79"/>
      <c r="B3" s="80" t="s">
        <v>63</v>
      </c>
      <c r="C3" s="80" t="s">
        <v>64</v>
      </c>
      <c r="D3" s="81" t="s">
        <v>65</v>
      </c>
      <c r="E3" s="79"/>
      <c r="F3" s="80" t="s">
        <v>68</v>
      </c>
      <c r="G3" s="80" t="s">
        <v>69</v>
      </c>
      <c r="H3" s="81" t="s">
        <v>70</v>
      </c>
      <c r="I3" s="79"/>
      <c r="J3" s="80" t="s">
        <v>71</v>
      </c>
      <c r="K3" s="80" t="s">
        <v>72</v>
      </c>
      <c r="L3" s="81" t="s">
        <v>73</v>
      </c>
      <c r="M3" s="79"/>
      <c r="N3" s="80" t="s">
        <v>74</v>
      </c>
      <c r="O3" s="80" t="s">
        <v>75</v>
      </c>
      <c r="P3" s="81" t="s">
        <v>76</v>
      </c>
    </row>
    <row r="4" spans="1:16">
      <c r="A4" s="82"/>
      <c r="B4" s="116" t="s">
        <v>116</v>
      </c>
      <c r="C4" s="116"/>
      <c r="D4" s="116"/>
      <c r="E4" s="88"/>
      <c r="F4" s="116" t="s">
        <v>117</v>
      </c>
      <c r="G4" s="116"/>
      <c r="H4" s="116"/>
      <c r="I4" s="88"/>
      <c r="J4" s="116" t="s">
        <v>118</v>
      </c>
      <c r="K4" s="116"/>
      <c r="L4" s="116"/>
      <c r="M4" s="88"/>
      <c r="N4" s="116" t="s">
        <v>119</v>
      </c>
      <c r="O4" s="116"/>
      <c r="P4" s="116"/>
    </row>
    <row r="5" spans="1:16">
      <c r="A5" s="83"/>
      <c r="B5" s="89" t="s">
        <v>4</v>
      </c>
      <c r="C5" s="89" t="s">
        <v>1</v>
      </c>
      <c r="D5" s="89" t="s">
        <v>2</v>
      </c>
      <c r="E5" s="90"/>
      <c r="F5" s="89" t="s">
        <v>4</v>
      </c>
      <c r="G5" s="89" t="s">
        <v>1</v>
      </c>
      <c r="H5" s="89" t="s">
        <v>2</v>
      </c>
      <c r="I5" s="90"/>
      <c r="J5" s="89" t="s">
        <v>4</v>
      </c>
      <c r="K5" s="89" t="s">
        <v>1</v>
      </c>
      <c r="L5" s="89" t="s">
        <v>2</v>
      </c>
      <c r="M5" s="90"/>
      <c r="N5" s="89" t="s">
        <v>4</v>
      </c>
      <c r="O5" s="89" t="s">
        <v>1</v>
      </c>
      <c r="P5" s="89" t="s">
        <v>2</v>
      </c>
    </row>
    <row r="6" spans="1:16">
      <c r="A6" s="84" t="s">
        <v>60</v>
      </c>
      <c r="B6" s="85" t="str">
        <f>"-0.300+"</f>
        <v>-0.300+</v>
      </c>
      <c r="C6" s="85" t="str">
        <f>"-0.299+"</f>
        <v>-0.299+</v>
      </c>
      <c r="D6" s="85" t="str">
        <f>"-0.367+"</f>
        <v>-0.367+</v>
      </c>
      <c r="E6" s="85"/>
      <c r="F6" s="85" t="str">
        <f>"0.328*"</f>
        <v>0.328*</v>
      </c>
      <c r="G6" s="85" t="str">
        <f>"0.300*"</f>
        <v>0.300*</v>
      </c>
      <c r="H6" s="85" t="str">
        <f>"0.278*"</f>
        <v>0.278*</v>
      </c>
      <c r="I6" s="85"/>
      <c r="J6" s="85" t="s">
        <v>95</v>
      </c>
      <c r="K6" s="85" t="s">
        <v>96</v>
      </c>
      <c r="L6" s="85" t="s">
        <v>97</v>
      </c>
      <c r="M6" s="85"/>
      <c r="N6" s="85" t="s">
        <v>77</v>
      </c>
      <c r="O6" s="85" t="s">
        <v>78</v>
      </c>
      <c r="P6" s="85" t="s">
        <v>79</v>
      </c>
    </row>
    <row r="7" spans="1:16" ht="13.5" customHeight="1">
      <c r="A7" s="84"/>
      <c r="B7" s="87" t="str">
        <f>"(0.169)"</f>
        <v>(0.169)</v>
      </c>
      <c r="C7" s="87" t="str">
        <f>"(0.158)"</f>
        <v>(0.158)</v>
      </c>
      <c r="D7" s="87" t="str">
        <f>"(0.184)"</f>
        <v>(0.184)</v>
      </c>
      <c r="E7" s="87"/>
      <c r="F7" s="87" t="str">
        <f>"(0.158)"</f>
        <v>(0.158)</v>
      </c>
      <c r="G7" s="87" t="str">
        <f>"(0.117)"</f>
        <v>(0.117)</v>
      </c>
      <c r="H7" s="87" t="str">
        <f>"(0.119)"</f>
        <v>(0.119)</v>
      </c>
      <c r="I7" s="87"/>
      <c r="J7" s="87" t="s">
        <v>98</v>
      </c>
      <c r="K7" s="87" t="s">
        <v>99</v>
      </c>
      <c r="L7" s="87" t="s">
        <v>100</v>
      </c>
      <c r="M7" s="87"/>
      <c r="N7" s="87" t="s">
        <v>80</v>
      </c>
      <c r="O7" s="87" t="s">
        <v>81</v>
      </c>
      <c r="P7" s="87" t="s">
        <v>82</v>
      </c>
    </row>
    <row r="8" spans="1:16" ht="4.5" customHeight="1">
      <c r="A8" s="84"/>
      <c r="B8" s="85"/>
      <c r="C8" s="85"/>
      <c r="D8" s="85"/>
      <c r="E8" s="85"/>
      <c r="F8" s="85"/>
      <c r="G8" s="85"/>
      <c r="H8" s="85"/>
      <c r="I8" s="85"/>
      <c r="J8" s="85"/>
      <c r="K8" s="85"/>
      <c r="L8" s="85"/>
      <c r="M8" s="85"/>
      <c r="N8" s="85"/>
      <c r="O8" s="85"/>
      <c r="P8" s="85"/>
    </row>
    <row r="9" spans="1:16">
      <c r="A9" s="84" t="s">
        <v>123</v>
      </c>
      <c r="B9" s="85" t="str">
        <f>"0.0901+"</f>
        <v>0.0901+</v>
      </c>
      <c r="C9" s="85" t="str">
        <f>"0.013"</f>
        <v>0.013</v>
      </c>
      <c r="D9" s="85" t="str">
        <f>"-0.0001"</f>
        <v>-0.0001</v>
      </c>
      <c r="E9" s="85"/>
      <c r="F9" s="85" t="str">
        <f>"-0.104"</f>
        <v>-0.104</v>
      </c>
      <c r="G9" s="85" t="str">
        <f>"-0.190*"</f>
        <v>-0.190*</v>
      </c>
      <c r="H9" s="85" t="str">
        <f>"-0.274**"</f>
        <v>-0.274**</v>
      </c>
      <c r="I9" s="85"/>
      <c r="J9" s="85" t="s">
        <v>101</v>
      </c>
      <c r="K9" s="85" t="s">
        <v>102</v>
      </c>
      <c r="L9" s="85" t="s">
        <v>103</v>
      </c>
      <c r="M9" s="85"/>
      <c r="N9" s="85" t="s">
        <v>83</v>
      </c>
      <c r="O9" s="85" t="s">
        <v>84</v>
      </c>
      <c r="P9" s="85" t="s">
        <v>85</v>
      </c>
    </row>
    <row r="10" spans="1:16" ht="13.5" customHeight="1">
      <c r="A10" s="84"/>
      <c r="B10" s="87" t="str">
        <f>"(0.0533)"</f>
        <v>(0.0533)</v>
      </c>
      <c r="C10" s="87" t="str">
        <f>"(0.0738)"</f>
        <v>(0.0738)</v>
      </c>
      <c r="D10" s="87" t="str">
        <f>"(0.106)"</f>
        <v>(0.106)</v>
      </c>
      <c r="E10" s="87"/>
      <c r="F10" s="87" t="str">
        <f>"(0.0626)"</f>
        <v>(0.0626)</v>
      </c>
      <c r="G10" s="87" t="str">
        <f>"(0.0731)"</f>
        <v>(0.0731)</v>
      </c>
      <c r="H10" s="87" t="str">
        <f>"(0.0764)"</f>
        <v>(0.0764)</v>
      </c>
      <c r="I10" s="87"/>
      <c r="J10" s="87" t="s">
        <v>104</v>
      </c>
      <c r="K10" s="87" t="s">
        <v>105</v>
      </c>
      <c r="L10" s="87" t="s">
        <v>106</v>
      </c>
      <c r="M10" s="87"/>
      <c r="N10" s="87" t="s">
        <v>86</v>
      </c>
      <c r="O10" s="87" t="s">
        <v>87</v>
      </c>
      <c r="P10" s="87" t="s">
        <v>88</v>
      </c>
    </row>
    <row r="11" spans="1:16" ht="6" customHeight="1">
      <c r="A11" s="84"/>
      <c r="B11" s="85"/>
      <c r="C11" s="85"/>
      <c r="D11" s="85"/>
      <c r="E11" s="85"/>
      <c r="F11" s="85"/>
      <c r="G11" s="85"/>
      <c r="H11" s="85"/>
      <c r="I11" s="85"/>
      <c r="J11" s="85"/>
      <c r="K11" s="85"/>
      <c r="L11" s="85"/>
      <c r="M11" s="85"/>
      <c r="N11" s="85"/>
      <c r="O11" s="85"/>
      <c r="P11" s="85"/>
    </row>
    <row r="12" spans="1:16">
      <c r="A12" s="84" t="s">
        <v>61</v>
      </c>
      <c r="B12" s="85" t="str">
        <f>"-3.095**"</f>
        <v>-3.095**</v>
      </c>
      <c r="C12" s="85" t="str">
        <f>"-3.208**"</f>
        <v>-3.208**</v>
      </c>
      <c r="D12" s="85" t="str">
        <f>"-3.235**"</f>
        <v>-3.235**</v>
      </c>
      <c r="E12" s="85"/>
      <c r="F12" s="85" t="str">
        <f>"-4.897**"</f>
        <v>-4.897**</v>
      </c>
      <c r="G12" s="85" t="str">
        <f>"-4.346**"</f>
        <v>-4.346**</v>
      </c>
      <c r="H12" s="85" t="str">
        <f>"-3.876**"</f>
        <v>-3.876**</v>
      </c>
      <c r="I12" s="85"/>
      <c r="J12" s="85" t="s">
        <v>107</v>
      </c>
      <c r="K12" s="85" t="s">
        <v>108</v>
      </c>
      <c r="L12" s="85" t="s">
        <v>109</v>
      </c>
      <c r="M12" s="85"/>
      <c r="N12" s="85" t="s">
        <v>89</v>
      </c>
      <c r="O12" s="85" t="s">
        <v>90</v>
      </c>
      <c r="P12" s="85" t="s">
        <v>91</v>
      </c>
    </row>
    <row r="13" spans="1:16" ht="13.5" customHeight="1">
      <c r="A13" s="84"/>
      <c r="B13" s="87" t="str">
        <f>"(0.488)"</f>
        <v>(0.488)</v>
      </c>
      <c r="C13" s="87" t="str">
        <f>"(0.318)"</f>
        <v>(0.318)</v>
      </c>
      <c r="D13" s="87" t="str">
        <f>"(0.250)"</f>
        <v>(0.250)</v>
      </c>
      <c r="E13" s="87"/>
      <c r="F13" s="87" t="str">
        <f>"(0.473)"</f>
        <v>(0.473)</v>
      </c>
      <c r="G13" s="87" t="str">
        <f>"(0.245)"</f>
        <v>(0.245)</v>
      </c>
      <c r="H13" s="87" t="str">
        <f>"(0.152)"</f>
        <v>(0.152)</v>
      </c>
      <c r="I13" s="87"/>
      <c r="J13" s="87" t="s">
        <v>110</v>
      </c>
      <c r="K13" s="87" t="s">
        <v>111</v>
      </c>
      <c r="L13" s="87" t="s">
        <v>112</v>
      </c>
      <c r="M13" s="87"/>
      <c r="N13" s="87" t="s">
        <v>92</v>
      </c>
      <c r="O13" s="87" t="s">
        <v>93</v>
      </c>
      <c r="P13" s="87" t="s">
        <v>94</v>
      </c>
    </row>
    <row r="14" spans="1:16" ht="6" customHeight="1">
      <c r="A14" s="84"/>
      <c r="B14" s="85"/>
      <c r="C14" s="85"/>
      <c r="D14" s="85"/>
      <c r="E14" s="85"/>
      <c r="F14" s="85"/>
      <c r="G14" s="85"/>
      <c r="H14" s="85"/>
      <c r="I14" s="85"/>
      <c r="J14" s="85"/>
      <c r="K14" s="85"/>
      <c r="L14" s="85"/>
      <c r="M14" s="85"/>
      <c r="N14" s="85"/>
      <c r="O14" s="85"/>
      <c r="P14" s="85"/>
    </row>
    <row r="15" spans="1:16" ht="14.25" customHeight="1">
      <c r="A15" s="83" t="s">
        <v>62</v>
      </c>
      <c r="B15" s="86" t="str">
        <f>"83"</f>
        <v>83</v>
      </c>
      <c r="C15" s="86" t="str">
        <f>"83"</f>
        <v>83</v>
      </c>
      <c r="D15" s="86" t="str">
        <f>"83"</f>
        <v>83</v>
      </c>
      <c r="E15" s="86"/>
      <c r="F15" s="86" t="str">
        <f>"49"</f>
        <v>49</v>
      </c>
      <c r="G15" s="86" t="str">
        <f>"49"</f>
        <v>49</v>
      </c>
      <c r="H15" s="86" t="str">
        <f>"49"</f>
        <v>49</v>
      </c>
      <c r="I15" s="86"/>
      <c r="J15" s="86">
        <v>27</v>
      </c>
      <c r="K15" s="86">
        <v>27</v>
      </c>
      <c r="L15" s="86">
        <v>27</v>
      </c>
      <c r="M15" s="86"/>
      <c r="N15" s="86">
        <v>28</v>
      </c>
      <c r="O15" s="86">
        <v>28</v>
      </c>
      <c r="P15" s="86">
        <v>28</v>
      </c>
    </row>
    <row r="16" spans="1:16" ht="9.75" customHeight="1"/>
    <row r="17" spans="1:16" ht="46.5" customHeight="1">
      <c r="A17" s="117" t="s">
        <v>130</v>
      </c>
      <c r="B17" s="117"/>
      <c r="C17" s="117"/>
      <c r="D17" s="117"/>
      <c r="E17" s="117"/>
      <c r="F17" s="117"/>
      <c r="G17" s="117"/>
      <c r="H17" s="117"/>
      <c r="I17" s="117"/>
      <c r="J17" s="117"/>
      <c r="K17" s="117"/>
      <c r="L17" s="117"/>
      <c r="M17" s="117"/>
      <c r="N17" s="117"/>
      <c r="O17" s="117"/>
      <c r="P17" s="117"/>
    </row>
    <row r="18" spans="1:16" ht="29.25" customHeight="1">
      <c r="A18" s="113" t="s">
        <v>131</v>
      </c>
      <c r="B18" s="113"/>
      <c r="C18" s="113"/>
      <c r="D18" s="113"/>
      <c r="E18" s="113"/>
      <c r="F18" s="113"/>
      <c r="G18" s="113"/>
      <c r="H18" s="113"/>
      <c r="I18" s="113"/>
      <c r="J18" s="113"/>
      <c r="K18" s="113"/>
      <c r="L18" s="113"/>
      <c r="M18" s="113"/>
      <c r="N18" s="113"/>
      <c r="O18" s="113"/>
      <c r="P18" s="113"/>
    </row>
  </sheetData>
  <mergeCells count="6">
    <mergeCell ref="A17:P17"/>
    <mergeCell ref="A18:P18"/>
    <mergeCell ref="B4:D4"/>
    <mergeCell ref="F4:H4"/>
    <mergeCell ref="J4:L4"/>
    <mergeCell ref="N4:P4"/>
  </mergeCells>
  <hyperlinks>
    <hyperlink ref="K1" location="Index!A1" display="index"/>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9:L97"/>
  <sheetViews>
    <sheetView workbookViewId="0">
      <selection activeCell="I36" sqref="I36"/>
    </sheetView>
  </sheetViews>
  <sheetFormatPr defaultRowHeight="14.4"/>
  <sheetData>
    <row r="29" spans="1:12">
      <c r="A29" s="31" t="s">
        <v>147</v>
      </c>
    </row>
    <row r="30" spans="1:12">
      <c r="A30" s="31" t="s">
        <v>57</v>
      </c>
    </row>
    <row r="31" spans="1:12" ht="27.75" customHeight="1">
      <c r="A31" s="117" t="s">
        <v>137</v>
      </c>
      <c r="B31" s="117"/>
      <c r="C31" s="117"/>
      <c r="D31" s="117"/>
      <c r="E31" s="117"/>
      <c r="F31" s="117"/>
      <c r="G31" s="117"/>
      <c r="H31" s="117"/>
      <c r="I31" s="117"/>
      <c r="J31" s="117"/>
      <c r="K31" s="117"/>
      <c r="L31" s="117"/>
    </row>
    <row r="34" spans="1:5">
      <c r="B34" s="118" t="s">
        <v>54</v>
      </c>
      <c r="C34" s="118"/>
      <c r="D34" s="118"/>
      <c r="E34" s="118"/>
    </row>
    <row r="35" spans="1:5">
      <c r="B35" s="118" t="s">
        <v>2</v>
      </c>
      <c r="C35" s="118"/>
      <c r="D35" s="118" t="s">
        <v>1</v>
      </c>
      <c r="E35" s="118"/>
    </row>
    <row r="36" spans="1:5">
      <c r="B36" s="61" t="s">
        <v>55</v>
      </c>
      <c r="C36" s="61" t="s">
        <v>59</v>
      </c>
      <c r="D36" s="61" t="s">
        <v>55</v>
      </c>
      <c r="E36" s="61" t="s">
        <v>59</v>
      </c>
    </row>
    <row r="37" spans="1:5">
      <c r="A37">
        <v>1960</v>
      </c>
      <c r="B37" s="53">
        <f>Data!B48</f>
        <v>0.18370258808135986</v>
      </c>
      <c r="C37" s="53">
        <f>Data!AX48</f>
        <v>4.4813174396610256E-2</v>
      </c>
      <c r="D37" s="53">
        <f>Data!C48</f>
        <v>8.6391858756542206E-2</v>
      </c>
      <c r="E37" s="53">
        <f>Data!AY48</f>
        <v>2.9530282911717654E-2</v>
      </c>
    </row>
    <row r="38" spans="1:5">
      <c r="A38">
        <v>1961</v>
      </c>
      <c r="B38" s="53"/>
      <c r="C38" s="53"/>
      <c r="D38" s="53"/>
      <c r="E38" s="53"/>
    </row>
    <row r="39" spans="1:5">
      <c r="A39">
        <v>1962</v>
      </c>
      <c r="B39" s="53">
        <f>Data!B50</f>
        <v>0.19173590838909149</v>
      </c>
      <c r="C39" s="53">
        <f>Data!AX50</f>
        <v>5.0563994323439831E-2</v>
      </c>
      <c r="D39" s="53">
        <f>Data!C50</f>
        <v>9.4576247036457062E-2</v>
      </c>
      <c r="E39" s="53">
        <f>Data!AY50</f>
        <v>3.6769169013645492E-2</v>
      </c>
    </row>
    <row r="40" spans="1:5">
      <c r="A40">
        <v>1963</v>
      </c>
      <c r="B40" s="53"/>
      <c r="C40" s="53"/>
      <c r="D40" s="53"/>
      <c r="E40" s="53"/>
    </row>
    <row r="41" spans="1:5">
      <c r="A41">
        <v>1964</v>
      </c>
      <c r="B41" s="53">
        <f>Data!B52</f>
        <v>0.19323407113552094</v>
      </c>
      <c r="C41" s="53">
        <f>Data!AX52</f>
        <v>5.4913067450423951E-2</v>
      </c>
      <c r="D41" s="53">
        <f>Data!C52</f>
        <v>9.6557281911373138E-2</v>
      </c>
      <c r="E41" s="53">
        <f>Data!AY52</f>
        <v>3.7954041471431929E-2</v>
      </c>
    </row>
    <row r="42" spans="1:5">
      <c r="A42">
        <v>1965</v>
      </c>
      <c r="B42" s="53"/>
      <c r="C42" s="53"/>
      <c r="D42" s="53"/>
      <c r="E42" s="53"/>
    </row>
    <row r="43" spans="1:5">
      <c r="A43">
        <v>1966</v>
      </c>
      <c r="B43" s="53">
        <f>Data!B54</f>
        <v>0.16771937906742096</v>
      </c>
      <c r="C43" s="53">
        <f>Data!AX54</f>
        <v>4.8042277389311883E-2</v>
      </c>
      <c r="D43" s="53">
        <f>Data!C54</f>
        <v>8.5845321416854858E-2</v>
      </c>
      <c r="E43" s="53">
        <f>Data!AY54</f>
        <v>3.276782982326467E-2</v>
      </c>
    </row>
    <row r="44" spans="1:5">
      <c r="A44">
        <v>1967</v>
      </c>
      <c r="B44" s="53"/>
      <c r="C44" s="53"/>
      <c r="D44" s="53"/>
      <c r="E44" s="53"/>
    </row>
    <row r="45" spans="1:5">
      <c r="A45">
        <v>1968</v>
      </c>
      <c r="B45" s="53">
        <f>Data!B56</f>
        <v>0.19195100665092468</v>
      </c>
      <c r="C45" s="53">
        <f>Data!AX56</f>
        <v>6.0041671386692544E-2</v>
      </c>
      <c r="D45" s="53">
        <f>Data!C56</f>
        <v>9.91983562707901E-2</v>
      </c>
      <c r="E45" s="53">
        <f>Data!AY56</f>
        <v>4.2345418170487106E-2</v>
      </c>
    </row>
    <row r="46" spans="1:5">
      <c r="A46">
        <v>1969</v>
      </c>
      <c r="B46" s="53"/>
      <c r="C46" s="53"/>
      <c r="D46" s="53"/>
      <c r="E46" s="53"/>
    </row>
    <row r="47" spans="1:5">
      <c r="A47">
        <v>1970</v>
      </c>
      <c r="B47" s="53">
        <f>Data!B58</f>
        <v>0.15182901918888092</v>
      </c>
      <c r="C47" s="53">
        <f>Data!AX58</f>
        <v>5.4504091841135568E-2</v>
      </c>
      <c r="D47" s="53">
        <f>Data!C58</f>
        <v>8.0435954034328461E-2</v>
      </c>
      <c r="E47" s="53">
        <f>Data!AY58</f>
        <v>3.9628523337370006E-2</v>
      </c>
    </row>
    <row r="48" spans="1:5">
      <c r="A48">
        <v>1971</v>
      </c>
      <c r="B48" s="53"/>
      <c r="C48" s="53"/>
      <c r="D48" s="53"/>
      <c r="E48" s="53"/>
    </row>
    <row r="49" spans="1:5">
      <c r="A49">
        <v>1972</v>
      </c>
      <c r="B49" s="53">
        <f>Data!B60</f>
        <v>0.14235158264636993</v>
      </c>
      <c r="C49" s="53">
        <f>Data!AX60</f>
        <v>5.675212471510261E-2</v>
      </c>
      <c r="D49" s="53">
        <f>Data!C60</f>
        <v>7.9447925090789795E-2</v>
      </c>
      <c r="E49" s="53">
        <f>Data!AY60</f>
        <v>4.1055764293067579E-2</v>
      </c>
    </row>
    <row r="50" spans="1:5">
      <c r="A50">
        <v>1973</v>
      </c>
      <c r="B50" s="53">
        <f>Data!B61</f>
        <v>0.1126420646905899</v>
      </c>
      <c r="C50" s="53">
        <f>Data!AX61</f>
        <v>4.138395855837574E-2</v>
      </c>
      <c r="D50" s="53">
        <f>Data!C61</f>
        <v>6.695874035358429E-2</v>
      </c>
      <c r="E50" s="53">
        <f>Data!AY61</f>
        <v>3.1736992011959425E-2</v>
      </c>
    </row>
    <row r="51" spans="1:5">
      <c r="A51">
        <v>1974</v>
      </c>
      <c r="B51" s="53">
        <f>Data!B62</f>
        <v>0.10186830908060074</v>
      </c>
      <c r="C51" s="53">
        <f>Data!AX62</f>
        <v>3.7353321701928982E-2</v>
      </c>
      <c r="D51" s="53">
        <f>Data!C62</f>
        <v>6.1587277799844742E-2</v>
      </c>
      <c r="E51" s="53">
        <f>Data!AY62</f>
        <v>2.9508839952057397E-2</v>
      </c>
    </row>
    <row r="52" spans="1:5">
      <c r="A52">
        <v>1975</v>
      </c>
      <c r="B52" s="53">
        <f>Data!B63</f>
        <v>0.11073751002550125</v>
      </c>
      <c r="C52" s="53">
        <f>Data!AX63</f>
        <v>4.2154093300153295E-2</v>
      </c>
      <c r="D52" s="53">
        <f>Data!C63</f>
        <v>6.5777711570262909E-2</v>
      </c>
      <c r="E52" s="53">
        <f>Data!AY63</f>
        <v>3.1765617759103713E-2</v>
      </c>
    </row>
    <row r="53" spans="1:5">
      <c r="A53">
        <v>1976</v>
      </c>
      <c r="B53" s="53">
        <f>Data!B64</f>
        <v>0.11032526195049286</v>
      </c>
      <c r="C53" s="53">
        <f>Data!AX64</f>
        <v>4.429522639249088E-2</v>
      </c>
      <c r="D53" s="53">
        <f>Data!C64</f>
        <v>6.7635558545589447E-2</v>
      </c>
      <c r="E53" s="53">
        <f>Data!AY64</f>
        <v>3.3453678682883528E-2</v>
      </c>
    </row>
    <row r="54" spans="1:5">
      <c r="A54">
        <v>1977</v>
      </c>
      <c r="B54" s="53">
        <f>Data!B65</f>
        <v>0.11107464879751205</v>
      </c>
      <c r="C54" s="53">
        <f>Data!AX65</f>
        <v>4.1627302945246435E-2</v>
      </c>
      <c r="D54" s="53">
        <f>Data!C65</f>
        <v>6.8443074822425842E-2</v>
      </c>
      <c r="E54" s="53">
        <f>Data!AY65</f>
        <v>3.2526968183907067E-2</v>
      </c>
    </row>
    <row r="55" spans="1:5">
      <c r="A55">
        <v>1978</v>
      </c>
      <c r="B55" s="53">
        <f>Data!B66</f>
        <v>0.10067892819643021</v>
      </c>
      <c r="C55" s="53">
        <f>Data!AX66</f>
        <v>3.8078450232754919E-2</v>
      </c>
      <c r="D55" s="53">
        <f>Data!C66</f>
        <v>6.4096242189407349E-2</v>
      </c>
      <c r="E55" s="53">
        <f>Data!AY66</f>
        <v>2.9037775775299882E-2</v>
      </c>
    </row>
    <row r="56" spans="1:5">
      <c r="A56">
        <v>1979</v>
      </c>
      <c r="B56" s="53">
        <f>Data!B67</f>
        <v>0.11787800490856171</v>
      </c>
      <c r="C56" s="53">
        <f>Data!AX67</f>
        <v>3.9749544449133409E-2</v>
      </c>
      <c r="D56" s="53">
        <f>Data!C67</f>
        <v>7.5463555753231049E-2</v>
      </c>
      <c r="E56" s="53">
        <f>Data!AY67</f>
        <v>3.0112427163647357E-2</v>
      </c>
    </row>
    <row r="57" spans="1:5">
      <c r="A57">
        <v>1980</v>
      </c>
      <c r="B57" s="53">
        <f>Data!B68</f>
        <v>0.10876652598381042</v>
      </c>
      <c r="C57" s="53">
        <f>Data!AX68</f>
        <v>4.4383476606424326E-2</v>
      </c>
      <c r="D57" s="53">
        <f>Data!C68</f>
        <v>7.1899525821208954E-2</v>
      </c>
      <c r="E57" s="53">
        <f>Data!AY68</f>
        <v>3.470232436769121E-2</v>
      </c>
    </row>
    <row r="58" spans="1:5">
      <c r="A58">
        <v>1981</v>
      </c>
      <c r="B58" s="53">
        <f>Data!B69</f>
        <v>0.12870089709758759</v>
      </c>
      <c r="C58" s="53">
        <f>Data!AX69</f>
        <v>4.6981661033559045E-2</v>
      </c>
      <c r="D58" s="53">
        <f>Data!C69</f>
        <v>8.0451257526874542E-2</v>
      </c>
      <c r="E58" s="53">
        <f>Data!AY69</f>
        <v>3.7400746043635094E-2</v>
      </c>
    </row>
    <row r="59" spans="1:5">
      <c r="A59">
        <v>1982</v>
      </c>
      <c r="B59" s="53">
        <f>Data!B70</f>
        <v>8.4223732352256775E-2</v>
      </c>
      <c r="C59" s="53">
        <f>Data!AX70</f>
        <v>3.9608645043176953E-2</v>
      </c>
      <c r="D59" s="53">
        <f>Data!C70</f>
        <v>5.9816155582666397E-2</v>
      </c>
      <c r="E59" s="53">
        <f>Data!AY70</f>
        <v>3.2657498540578214E-2</v>
      </c>
    </row>
    <row r="60" spans="1:5">
      <c r="A60">
        <v>1983</v>
      </c>
      <c r="B60" s="53">
        <f>Data!B71</f>
        <v>7.9008191823959351E-2</v>
      </c>
      <c r="C60" s="53">
        <f>Data!AX71</f>
        <v>3.9596616485525697E-2</v>
      </c>
      <c r="D60" s="53">
        <f>Data!C71</f>
        <v>6.622517853975296E-2</v>
      </c>
      <c r="E60" s="53">
        <f>Data!AY71</f>
        <v>3.4350950291569725E-2</v>
      </c>
    </row>
    <row r="61" spans="1:5">
      <c r="A61">
        <v>1984</v>
      </c>
      <c r="B61" s="53">
        <f>Data!B72</f>
        <v>8.1439316272735596E-2</v>
      </c>
      <c r="C61" s="53">
        <f>Data!AX72</f>
        <v>3.8375458545425303E-2</v>
      </c>
      <c r="D61" s="53">
        <f>Data!C72</f>
        <v>5.7889837771654129E-2</v>
      </c>
      <c r="E61" s="53">
        <f>Data!AY72</f>
        <v>3.0118314893550956E-2</v>
      </c>
    </row>
    <row r="62" spans="1:5">
      <c r="A62">
        <v>1985</v>
      </c>
      <c r="B62" s="53">
        <f>Data!B73</f>
        <v>7.8300096094608307E-2</v>
      </c>
      <c r="C62" s="53">
        <f>Data!AX73</f>
        <v>4.1496770177216834E-2</v>
      </c>
      <c r="D62" s="53">
        <f>Data!C73</f>
        <v>6.9753624498844147E-2</v>
      </c>
      <c r="E62" s="53">
        <f>Data!AY73</f>
        <v>4.5132321036752403E-2</v>
      </c>
    </row>
    <row r="63" spans="1:5">
      <c r="A63">
        <v>1986</v>
      </c>
      <c r="B63" s="53">
        <f>Data!B74</f>
        <v>0.10092118382453918</v>
      </c>
      <c r="C63" s="53">
        <f>Data!AX74</f>
        <v>5.8062240478808404E-2</v>
      </c>
      <c r="D63" s="53">
        <f>Data!C74</f>
        <v>7.5141042470932007E-2</v>
      </c>
      <c r="E63" s="53">
        <f>Data!AY74</f>
        <v>6.5090558891373412E-2</v>
      </c>
    </row>
    <row r="64" spans="1:5">
      <c r="A64">
        <v>1987</v>
      </c>
      <c r="B64" s="53">
        <f>Data!B75</f>
        <v>4.7316454350948334E-2</v>
      </c>
      <c r="C64" s="53">
        <f>Data!AX75</f>
        <v>4.3023932729335648E-2</v>
      </c>
      <c r="D64" s="53">
        <f>Data!C75</f>
        <v>3.7539046257734299E-2</v>
      </c>
      <c r="E64" s="53">
        <f>Data!AY75</f>
        <v>3.4775619047816897E-2</v>
      </c>
    </row>
    <row r="65" spans="1:5">
      <c r="A65">
        <v>1988</v>
      </c>
      <c r="B65" s="53">
        <f>Data!B76</f>
        <v>4.424922913312912E-2</v>
      </c>
      <c r="C65" s="53">
        <f>Data!AX76</f>
        <v>3.3079946191385136E-2</v>
      </c>
      <c r="D65" s="53">
        <f>Data!C76</f>
        <v>3.3198237419128418E-2</v>
      </c>
      <c r="E65" s="53">
        <f>Data!AY76</f>
        <v>2.7504782591318378E-2</v>
      </c>
    </row>
    <row r="66" spans="1:5">
      <c r="A66">
        <v>1989</v>
      </c>
      <c r="B66" s="53">
        <f>Data!B77</f>
        <v>4.2416885495185852E-2</v>
      </c>
      <c r="C66" s="53">
        <f>Data!AX77</f>
        <v>3.6746138255778077E-2</v>
      </c>
      <c r="D66" s="53">
        <f>Data!C77</f>
        <v>3.5197064280509949E-2</v>
      </c>
      <c r="E66" s="53">
        <f>Data!AY77</f>
        <v>3.0103872284538837E-2</v>
      </c>
    </row>
    <row r="67" spans="1:5">
      <c r="A67">
        <v>1990</v>
      </c>
      <c r="B67" s="53">
        <f>Data!B78</f>
        <v>4.0312815457582474E-2</v>
      </c>
      <c r="C67" s="53">
        <f>Data!AX78</f>
        <v>3.5997081863850894E-2</v>
      </c>
      <c r="D67" s="53">
        <f>Data!C78</f>
        <v>3.2312080264091492E-2</v>
      </c>
      <c r="E67" s="53">
        <f>Data!AY78</f>
        <v>2.8760864004989818E-2</v>
      </c>
    </row>
    <row r="68" spans="1:5">
      <c r="A68">
        <v>1991</v>
      </c>
      <c r="B68" s="53">
        <f>Data!B79</f>
        <v>7.1500591933727264E-2</v>
      </c>
      <c r="C68" s="53">
        <f>Data!AX79</f>
        <v>3.7487130459838779E-2</v>
      </c>
      <c r="D68" s="53">
        <f>Data!C79</f>
        <v>4.6827960759401321E-2</v>
      </c>
      <c r="E68" s="53">
        <f>Data!AY79</f>
        <v>3.1177656235776882E-2</v>
      </c>
    </row>
    <row r="69" spans="1:5">
      <c r="A69">
        <v>1992</v>
      </c>
      <c r="B69" s="53">
        <f>Data!B80</f>
        <v>3.5154171288013458E-2</v>
      </c>
      <c r="C69" s="53">
        <f>Data!AX80</f>
        <v>3.2031207928092088E-2</v>
      </c>
      <c r="D69" s="53">
        <f>Data!C80</f>
        <v>3.0727021396160126E-2</v>
      </c>
      <c r="E69" s="53">
        <f>Data!AY80</f>
        <v>2.7368328613909188E-2</v>
      </c>
    </row>
    <row r="70" spans="1:5">
      <c r="A70">
        <v>1993</v>
      </c>
      <c r="B70" s="53">
        <f>Data!B81</f>
        <v>5.1010515540838242E-2</v>
      </c>
      <c r="C70" s="53">
        <f>Data!AX81</f>
        <v>4.6314974338354117E-2</v>
      </c>
      <c r="D70" s="53">
        <f>Data!C81</f>
        <v>4.1154626756906509E-2</v>
      </c>
      <c r="E70" s="53">
        <f>Data!AY81</f>
        <v>3.6811163760210153E-2</v>
      </c>
    </row>
    <row r="71" spans="1:5">
      <c r="A71">
        <v>1994</v>
      </c>
      <c r="B71" s="53">
        <f>Data!B82</f>
        <v>5.7579375803470612E-2</v>
      </c>
      <c r="C71" s="53">
        <f>Data!AX82</f>
        <v>5.0081455543079696E-2</v>
      </c>
      <c r="D71" s="53">
        <f>Data!C82</f>
        <v>4.5033946633338928E-2</v>
      </c>
      <c r="E71" s="53">
        <f>Data!AY82</f>
        <v>3.9538563337626571E-2</v>
      </c>
    </row>
    <row r="72" spans="1:5">
      <c r="A72">
        <v>1995</v>
      </c>
      <c r="B72" s="53">
        <f>Data!B83</f>
        <v>4.7401860356330872E-2</v>
      </c>
      <c r="C72" s="53">
        <f>Data!AX83</f>
        <v>4.5682225131044266E-2</v>
      </c>
      <c r="D72" s="53">
        <f>Data!C83</f>
        <v>3.8413349539041519E-2</v>
      </c>
      <c r="E72" s="53">
        <f>Data!AY83</f>
        <v>3.6783507830076216E-2</v>
      </c>
    </row>
    <row r="73" spans="1:5">
      <c r="A73">
        <v>1996</v>
      </c>
      <c r="B73" s="53">
        <f>Data!B84</f>
        <v>6.4663425087928772E-2</v>
      </c>
      <c r="C73" s="53">
        <f>Data!AX84</f>
        <v>6.1291317075415415E-2</v>
      </c>
      <c r="D73" s="53">
        <f>Data!C84</f>
        <v>4.913034662604332E-2</v>
      </c>
      <c r="E73" s="53">
        <f>Data!AY84</f>
        <v>4.6039759807588322E-2</v>
      </c>
    </row>
    <row r="74" spans="1:5">
      <c r="A74">
        <v>1997</v>
      </c>
      <c r="B74" s="53">
        <f>Data!B85</f>
        <v>7.444530725479126E-2</v>
      </c>
      <c r="C74" s="53">
        <f>Data!AX85</f>
        <v>6.8606569461600639E-2</v>
      </c>
      <c r="D74" s="53">
        <f>Data!C85</f>
        <v>5.7321712374687195E-2</v>
      </c>
      <c r="E74" s="53">
        <f>Data!AY85</f>
        <v>5.1394826692966862E-2</v>
      </c>
    </row>
    <row r="75" spans="1:5">
      <c r="A75">
        <v>1998</v>
      </c>
      <c r="B75" s="53">
        <f>Data!B86</f>
        <v>6.5787836909294128E-2</v>
      </c>
      <c r="C75" s="53">
        <f>Data!AX86</f>
        <v>6.7004969676623713E-2</v>
      </c>
      <c r="D75" s="53">
        <f>Data!C86</f>
        <v>5.1965672522783279E-2</v>
      </c>
      <c r="E75" s="53">
        <f>Data!AY86</f>
        <v>5.0586813024678615E-2</v>
      </c>
    </row>
    <row r="76" spans="1:5">
      <c r="A76">
        <v>1999</v>
      </c>
      <c r="B76" s="53">
        <f>Data!B87</f>
        <v>6.2063165009021759E-2</v>
      </c>
      <c r="C76" s="53">
        <f>Data!AX87</f>
        <v>7.517114220061083E-2</v>
      </c>
      <c r="D76" s="53">
        <f>Data!C87</f>
        <v>5.1538269966840744E-2</v>
      </c>
      <c r="E76" s="53">
        <f>Data!AY87</f>
        <v>5.577175585500322E-2</v>
      </c>
    </row>
    <row r="77" spans="1:5">
      <c r="A77">
        <v>2000</v>
      </c>
      <c r="B77" s="53">
        <f>Data!B88</f>
        <v>6.1263587325811386E-2</v>
      </c>
      <c r="C77" s="53">
        <f>Data!AX88</f>
        <v>7.4612745587328E-2</v>
      </c>
      <c r="D77" s="53">
        <f>Data!C88</f>
        <v>5.3797226399183273E-2</v>
      </c>
      <c r="E77" s="53">
        <f>Data!AY88</f>
        <v>5.5288922092040178E-2</v>
      </c>
    </row>
    <row r="78" spans="1:5">
      <c r="A78">
        <v>2001</v>
      </c>
      <c r="B78" s="53">
        <f>Data!B89</f>
        <v>5.8879591524600983E-2</v>
      </c>
      <c r="C78" s="53">
        <f>Data!AX89</f>
        <v>7.0596550682146569E-2</v>
      </c>
      <c r="D78" s="53">
        <f>Data!C89</f>
        <v>4.8725444823503494E-2</v>
      </c>
      <c r="E78" s="53">
        <f>Data!AY89</f>
        <v>4.9566987144800012E-2</v>
      </c>
    </row>
    <row r="79" spans="1:5">
      <c r="A79">
        <v>2002</v>
      </c>
      <c r="B79" s="53">
        <f>Data!B90</f>
        <v>7.2522386908531189E-2</v>
      </c>
      <c r="C79" s="53">
        <f>Data!AX90</f>
        <v>6.5084868133207976E-2</v>
      </c>
      <c r="D79" s="53">
        <f>Data!C90</f>
        <v>5.1495131105184555E-2</v>
      </c>
      <c r="E79" s="53">
        <f>Data!AY90</f>
        <v>4.59643698127086E-2</v>
      </c>
    </row>
    <row r="80" spans="1:5">
      <c r="A80">
        <v>2003</v>
      </c>
      <c r="B80" s="53">
        <f>Data!B91</f>
        <v>6.6449202597141266E-2</v>
      </c>
      <c r="C80" s="53">
        <f>Data!AX91</f>
        <v>6.7868178114897232E-2</v>
      </c>
      <c r="D80" s="53">
        <f>Data!C91</f>
        <v>5.2631709724664688E-2</v>
      </c>
      <c r="E80" s="53">
        <f>Data!AY91</f>
        <v>4.8275209444344026E-2</v>
      </c>
    </row>
    <row r="81" spans="1:5">
      <c r="A81">
        <v>2004</v>
      </c>
      <c r="B81" s="53">
        <f>Data!B92</f>
        <v>6.486356258392334E-2</v>
      </c>
      <c r="C81" s="53">
        <f>Data!AX92</f>
        <v>7.3294751194928134E-2</v>
      </c>
      <c r="D81" s="53">
        <f>Data!C92</f>
        <v>5.3260460495948792E-2</v>
      </c>
      <c r="E81" s="53">
        <f>Data!AY92</f>
        <v>5.3588810486267187E-2</v>
      </c>
    </row>
    <row r="82" spans="1:5">
      <c r="A82">
        <v>2005</v>
      </c>
      <c r="B82" s="53">
        <f>Data!B93</f>
        <v>6.5639585256576538E-2</v>
      </c>
      <c r="C82" s="53">
        <f>Data!AX93</f>
        <v>7.6030315386460337E-2</v>
      </c>
      <c r="D82" s="53">
        <f>Data!C93</f>
        <v>5.7614456862211227E-2</v>
      </c>
      <c r="E82" s="53">
        <f>Data!AY93</f>
        <v>5.7655656204639097E-2</v>
      </c>
    </row>
    <row r="83" spans="1:5">
      <c r="A83">
        <v>2006</v>
      </c>
      <c r="B83" s="53">
        <f>Data!B94</f>
        <v>7.6668843626976013E-2</v>
      </c>
      <c r="C83" s="53">
        <f>Data!AX94</f>
        <v>7.8264188319906808E-2</v>
      </c>
      <c r="D83" s="53">
        <f>Data!C94</f>
        <v>5.5961411446332932E-2</v>
      </c>
      <c r="E83" s="53">
        <f>Data!AY94</f>
        <v>5.5266841933302412E-2</v>
      </c>
    </row>
    <row r="84" spans="1:5">
      <c r="A84">
        <v>2007</v>
      </c>
      <c r="B84" s="53">
        <f>Data!B95</f>
        <v>4.8019655048847198E-2</v>
      </c>
      <c r="C84" s="53">
        <f>Data!AX95</f>
        <v>8.3753276818862771E-2</v>
      </c>
      <c r="D84" s="53">
        <f>Data!C95</f>
        <v>4.6173892915248871E-2</v>
      </c>
      <c r="E84" s="53">
        <f>Data!AY95</f>
        <v>5.971372040050596E-2</v>
      </c>
    </row>
    <row r="85" spans="1:5">
      <c r="A85">
        <v>2008</v>
      </c>
      <c r="B85" s="53">
        <f>Data!B96</f>
        <v>5.7341277599334717E-2</v>
      </c>
      <c r="C85" s="53">
        <f>Data!AX96</f>
        <v>6.3582230751686578E-2</v>
      </c>
      <c r="D85" s="53">
        <f>Data!C96</f>
        <v>4.6213582158088684E-2</v>
      </c>
      <c r="E85" s="53">
        <f>Data!AY96</f>
        <v>4.5333259731905891E-2</v>
      </c>
    </row>
    <row r="86" spans="1:5">
      <c r="A86">
        <v>2009</v>
      </c>
      <c r="B86" s="53">
        <f>Data!B97</f>
        <v>9.3117699027061462E-2</v>
      </c>
      <c r="C86" s="53">
        <f>Data!AX97</f>
        <v>5.8040255854226577E-2</v>
      </c>
      <c r="D86" s="53">
        <f>Data!C97</f>
        <v>5.9104848653078079E-2</v>
      </c>
      <c r="E86" s="53">
        <f>Data!AY97</f>
        <v>4.2678398126314507E-2</v>
      </c>
    </row>
    <row r="87" spans="1:5">
      <c r="A87">
        <v>2010</v>
      </c>
      <c r="B87" s="53">
        <f>Data!B98</f>
        <v>8.8891275227069855E-2</v>
      </c>
      <c r="C87" s="53">
        <f>Data!AX98</f>
        <v>5.9112221621567901E-2</v>
      </c>
      <c r="D87" s="53">
        <f>Data!C98</f>
        <v>5.9766091406345367E-2</v>
      </c>
      <c r="E87" s="53">
        <f>Data!AY98</f>
        <v>4.3960002920888391E-2</v>
      </c>
    </row>
    <row r="88" spans="1:5">
      <c r="A88">
        <v>2011</v>
      </c>
      <c r="B88" s="53">
        <f>Data!B99</f>
        <v>9.4633206725120544E-2</v>
      </c>
      <c r="C88" s="53">
        <f>Data!AX99</f>
        <v>6.3732017097979127E-2</v>
      </c>
      <c r="D88" s="53">
        <f>Data!C99</f>
        <v>6.4086958765983582E-2</v>
      </c>
      <c r="E88" s="53">
        <f>Data!AY99</f>
        <v>4.5252428316533769E-2</v>
      </c>
    </row>
    <row r="89" spans="1:5">
      <c r="A89">
        <v>2012</v>
      </c>
      <c r="B89" s="53">
        <f>Data!B100</f>
        <v>5.8285310864448547E-2</v>
      </c>
      <c r="C89" s="53">
        <f>Data!AX100</f>
        <v>8.1387111944828436E-2</v>
      </c>
      <c r="D89" s="53">
        <f>Data!C100</f>
        <v>4.5815076678991318E-2</v>
      </c>
      <c r="E89" s="53">
        <f>Data!AY100</f>
        <v>5.6125546620492947E-2</v>
      </c>
    </row>
    <row r="90" spans="1:5">
      <c r="A90">
        <v>2013</v>
      </c>
      <c r="B90" s="53"/>
      <c r="C90" s="53">
        <f>Data!AX101</f>
        <v>8.1626858985851772E-2</v>
      </c>
      <c r="D90" s="53"/>
      <c r="E90" s="53">
        <f>Data!AY101</f>
        <v>5.494609484124708E-2</v>
      </c>
    </row>
    <row r="91" spans="1:5">
      <c r="A91">
        <v>2014</v>
      </c>
      <c r="B91" s="53"/>
      <c r="C91" s="53">
        <f>Data!AX102</f>
        <v>8.7927245780212493E-2</v>
      </c>
      <c r="D91" s="53"/>
      <c r="E91" s="53">
        <f>Data!AY102</f>
        <v>5.9308647179533651E-2</v>
      </c>
    </row>
    <row r="92" spans="1:5">
      <c r="A92">
        <v>2015</v>
      </c>
      <c r="B92" s="53"/>
      <c r="C92" s="53">
        <f>Data!AX103</f>
        <v>8.8755321398552467E-2</v>
      </c>
      <c r="D92" s="53"/>
      <c r="E92" s="53">
        <f>Data!AY103</f>
        <v>6.0576493680352658E-2</v>
      </c>
    </row>
    <row r="93" spans="1:5">
      <c r="A93">
        <v>2016</v>
      </c>
      <c r="B93" s="53"/>
      <c r="C93" s="53"/>
      <c r="D93" s="53"/>
      <c r="E93" s="53"/>
    </row>
    <row r="94" spans="1:5">
      <c r="A94">
        <v>2017</v>
      </c>
    </row>
    <row r="95" spans="1:5">
      <c r="A95">
        <v>2018</v>
      </c>
    </row>
    <row r="96" spans="1:5">
      <c r="A96">
        <v>2019</v>
      </c>
    </row>
    <row r="97" spans="1:1">
      <c r="A97">
        <v>2020</v>
      </c>
    </row>
  </sheetData>
  <mergeCells count="4">
    <mergeCell ref="B34:E34"/>
    <mergeCell ref="B35:C35"/>
    <mergeCell ref="D35:E35"/>
    <mergeCell ref="A31:L31"/>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118"/>
  <sheetViews>
    <sheetView zoomScale="85" zoomScaleNormal="85" workbookViewId="0">
      <selection activeCell="A48" sqref="A48:XFD48"/>
    </sheetView>
  </sheetViews>
  <sheetFormatPr defaultColWidth="11.44140625" defaultRowHeight="14.4"/>
  <cols>
    <col min="1" max="1" width="9.88671875" style="1" customWidth="1"/>
    <col min="2" max="3" width="10.5546875" style="1" customWidth="1"/>
    <col min="4" max="4" width="9.5546875" style="1" customWidth="1"/>
    <col min="5" max="5" width="2" style="1" customWidth="1"/>
    <col min="6" max="6" width="13.44140625" style="2" customWidth="1"/>
    <col min="7" max="7" width="1.5546875" style="2" customWidth="1"/>
    <col min="8" max="10" width="11.44140625" style="2"/>
    <col min="11" max="11" width="1.5546875" style="2" customWidth="1"/>
    <col min="12" max="12" width="13.44140625" style="2" customWidth="1"/>
    <col min="13" max="13" width="12" style="2" customWidth="1"/>
    <col min="14" max="14" width="11.44140625" style="2" customWidth="1"/>
    <col min="15" max="15" width="13" style="2" customWidth="1"/>
    <col min="16" max="16" width="1.6640625" style="2" customWidth="1"/>
    <col min="17" max="17" width="8.33203125" style="2" customWidth="1"/>
    <col min="18" max="18" width="10.6640625" customWidth="1"/>
    <col min="19" max="19" width="9.44140625" customWidth="1"/>
    <col min="20" max="20" width="9.6640625" customWidth="1"/>
    <col min="21" max="21" width="2" style="2" customWidth="1"/>
    <col min="22" max="22" width="13.109375" style="2" customWidth="1"/>
    <col min="23" max="24" width="11.44140625" style="2"/>
    <col min="25" max="25" width="1.5546875" style="2" customWidth="1"/>
    <col min="26" max="26" width="12.88671875" style="2" customWidth="1"/>
    <col min="27" max="28" width="11.44140625" style="2"/>
    <col min="29" max="29" width="1" style="2" customWidth="1"/>
    <col min="30" max="30" width="10.33203125" style="2" customWidth="1"/>
    <col min="31" max="31" width="10" style="2" customWidth="1"/>
    <col min="32" max="32" width="10.109375" style="2" customWidth="1"/>
    <col min="33" max="33" width="2.109375" style="2" customWidth="1"/>
    <col min="34" max="36" width="11.44140625" style="2"/>
    <col min="37" max="37" width="1.6640625" style="2" customWidth="1"/>
    <col min="38" max="38" width="13.33203125" style="2" customWidth="1"/>
    <col min="39" max="39" width="10.6640625" style="2" customWidth="1"/>
    <col min="40" max="40" width="8.88671875" style="2" customWidth="1"/>
    <col min="41" max="41" width="2" style="2" customWidth="1"/>
    <col min="42" max="42" width="10" style="2" customWidth="1"/>
    <col min="43" max="43" width="11.6640625" style="2" customWidth="1"/>
    <col min="44" max="44" width="10.44140625" style="2" customWidth="1"/>
    <col min="45" max="45" width="1.6640625" style="2" customWidth="1"/>
    <col min="46" max="46" width="12.6640625" style="2" customWidth="1"/>
    <col min="47" max="47" width="9.88671875" style="2" customWidth="1"/>
    <col min="48" max="48" width="8.5546875" style="2" customWidth="1"/>
    <col min="49" max="49" width="1.109375" style="2" customWidth="1"/>
    <col min="50" max="52" width="10.33203125" style="2" customWidth="1"/>
    <col min="53" max="53" width="2.33203125" style="2" customWidth="1"/>
    <col min="54" max="54" width="12.6640625" style="2" customWidth="1"/>
    <col min="55" max="55" width="12" style="2" customWidth="1"/>
    <col min="56" max="56" width="10" style="2" customWidth="1"/>
    <col min="57" max="57" width="2" style="2" customWidth="1"/>
    <col min="58" max="58" width="10" style="2" customWidth="1"/>
    <col min="59" max="59" width="10.33203125" style="2" customWidth="1"/>
    <col min="60" max="60" width="8.44140625" style="2" customWidth="1"/>
    <col min="61" max="61" width="4" style="2" customWidth="1"/>
    <col min="62" max="62" width="8.5546875" style="2" customWidth="1"/>
    <col min="63" max="16384" width="11.44140625" style="2"/>
  </cols>
  <sheetData>
    <row r="1" spans="1:62">
      <c r="A1" s="39"/>
      <c r="B1" s="39"/>
      <c r="C1" s="39"/>
      <c r="D1" s="39"/>
      <c r="E1" s="39"/>
    </row>
    <row r="2" spans="1:62" s="4" customFormat="1">
      <c r="A2" s="40"/>
      <c r="B2" s="126" t="s">
        <v>22</v>
      </c>
      <c r="C2" s="126"/>
      <c r="D2" s="126"/>
      <c r="E2" s="40"/>
      <c r="F2" s="126" t="s">
        <v>23</v>
      </c>
      <c r="G2" s="126"/>
      <c r="H2" s="126"/>
      <c r="I2" s="126"/>
      <c r="J2" s="126"/>
      <c r="K2" s="126"/>
      <c r="L2" s="126"/>
      <c r="M2" s="126"/>
      <c r="N2" s="126"/>
      <c r="O2" s="126"/>
      <c r="P2" s="126"/>
      <c r="Q2" s="126"/>
      <c r="R2" s="126"/>
      <c r="S2" s="126"/>
      <c r="T2" s="126"/>
      <c r="V2" s="126" t="s">
        <v>41</v>
      </c>
      <c r="W2" s="126"/>
      <c r="X2" s="126"/>
      <c r="Y2" s="126"/>
      <c r="Z2" s="126"/>
      <c r="AA2" s="126"/>
      <c r="AB2" s="126"/>
      <c r="AC2" s="46"/>
      <c r="AD2" s="126" t="s">
        <v>149</v>
      </c>
      <c r="AE2" s="126"/>
      <c r="AF2" s="126"/>
      <c r="AG2" s="126"/>
      <c r="AH2" s="126"/>
      <c r="AI2" s="126"/>
      <c r="AJ2" s="126"/>
      <c r="AL2" s="126" t="s">
        <v>24</v>
      </c>
      <c r="AM2" s="126"/>
      <c r="AN2" s="126"/>
      <c r="AO2" s="126"/>
      <c r="AP2" s="126"/>
      <c r="AQ2" s="126"/>
      <c r="AR2" s="126"/>
      <c r="AT2" s="128" t="s">
        <v>29</v>
      </c>
      <c r="AU2" s="128"/>
      <c r="AV2" s="128"/>
      <c r="AW2" s="128"/>
      <c r="AX2" s="128"/>
      <c r="AY2" s="128"/>
      <c r="AZ2" s="128"/>
      <c r="BB2" s="104" t="s">
        <v>26</v>
      </c>
      <c r="BC2" s="104"/>
      <c r="BD2" s="104"/>
      <c r="BE2" s="104"/>
      <c r="BF2" s="104"/>
      <c r="BG2" s="104"/>
      <c r="BH2" s="104"/>
    </row>
    <row r="3" spans="1:62">
      <c r="A3" s="3" t="s">
        <v>0</v>
      </c>
      <c r="B3" s="127" t="s">
        <v>5</v>
      </c>
      <c r="C3" s="127"/>
      <c r="D3" s="127"/>
      <c r="E3" s="3"/>
      <c r="F3" s="4" t="s">
        <v>10</v>
      </c>
      <c r="G3" s="4"/>
      <c r="H3" s="124" t="s">
        <v>7</v>
      </c>
      <c r="I3" s="124"/>
      <c r="J3" s="124"/>
      <c r="K3" s="3"/>
      <c r="L3" s="124" t="s">
        <v>8</v>
      </c>
      <c r="M3" s="124"/>
      <c r="N3" s="124"/>
      <c r="O3" s="124"/>
      <c r="P3" s="3"/>
      <c r="Q3" s="124" t="s">
        <v>12</v>
      </c>
      <c r="R3" s="124"/>
      <c r="S3" s="124"/>
      <c r="T3" s="124"/>
      <c r="V3" s="124" t="s">
        <v>19</v>
      </c>
      <c r="W3" s="124"/>
      <c r="X3" s="124"/>
      <c r="Z3" s="124" t="s">
        <v>13</v>
      </c>
      <c r="AA3" s="124"/>
      <c r="AB3" s="124"/>
      <c r="AC3" s="42"/>
      <c r="AD3" s="124" t="s">
        <v>19</v>
      </c>
      <c r="AE3" s="124"/>
      <c r="AF3" s="124"/>
      <c r="AH3" s="124" t="s">
        <v>13</v>
      </c>
      <c r="AI3" s="124"/>
      <c r="AJ3" s="124"/>
      <c r="AL3" s="125" t="s">
        <v>20</v>
      </c>
      <c r="AM3" s="125"/>
      <c r="AN3" s="125"/>
      <c r="AO3" s="105"/>
      <c r="AP3" s="124" t="s">
        <v>21</v>
      </c>
      <c r="AQ3" s="124"/>
      <c r="AR3" s="124"/>
      <c r="AT3" s="125" t="s">
        <v>20</v>
      </c>
      <c r="AU3" s="125"/>
      <c r="AV3" s="125"/>
      <c r="AW3" s="42"/>
      <c r="AX3" s="124" t="s">
        <v>28</v>
      </c>
      <c r="AY3" s="124"/>
      <c r="AZ3" s="124"/>
      <c r="BB3" s="125" t="s">
        <v>34</v>
      </c>
      <c r="BC3" s="125"/>
      <c r="BD3" s="125"/>
      <c r="BE3" s="40"/>
      <c r="BF3" s="124" t="s">
        <v>25</v>
      </c>
      <c r="BG3" s="124"/>
      <c r="BH3" s="124"/>
    </row>
    <row r="4" spans="1:62">
      <c r="A4" s="11"/>
      <c r="B4" s="13" t="s">
        <v>2</v>
      </c>
      <c r="C4" s="13" t="s">
        <v>1</v>
      </c>
      <c r="D4" s="13" t="s">
        <v>4</v>
      </c>
      <c r="E4" s="11"/>
      <c r="F4" s="13" t="s">
        <v>11</v>
      </c>
      <c r="G4" s="13"/>
      <c r="H4" s="13" t="s">
        <v>2</v>
      </c>
      <c r="I4" s="13" t="s">
        <v>1</v>
      </c>
      <c r="J4" s="13" t="s">
        <v>4</v>
      </c>
      <c r="K4" s="13"/>
      <c r="L4" s="13" t="s">
        <v>9</v>
      </c>
      <c r="M4" s="13" t="s">
        <v>2</v>
      </c>
      <c r="N4" s="13" t="s">
        <v>1</v>
      </c>
      <c r="O4" s="13" t="s">
        <v>4</v>
      </c>
      <c r="P4" s="1"/>
      <c r="Q4" s="13" t="s">
        <v>9</v>
      </c>
      <c r="R4" s="13" t="s">
        <v>2</v>
      </c>
      <c r="S4" s="13" t="s">
        <v>1</v>
      </c>
      <c r="T4" s="13" t="s">
        <v>4</v>
      </c>
      <c r="U4" s="14"/>
      <c r="V4" s="13" t="s">
        <v>2</v>
      </c>
      <c r="W4" s="13" t="s">
        <v>1</v>
      </c>
      <c r="X4" s="13" t="s">
        <v>4</v>
      </c>
      <c r="Y4" s="12"/>
      <c r="Z4" s="13" t="s">
        <v>2</v>
      </c>
      <c r="AA4" s="13" t="s">
        <v>1</v>
      </c>
      <c r="AB4" s="13" t="s">
        <v>4</v>
      </c>
      <c r="AC4" s="43"/>
      <c r="AD4" s="43" t="s">
        <v>2</v>
      </c>
      <c r="AE4" s="43" t="s">
        <v>1</v>
      </c>
      <c r="AF4" s="43" t="s">
        <v>4</v>
      </c>
      <c r="AG4" s="12"/>
      <c r="AH4" s="43" t="s">
        <v>2</v>
      </c>
      <c r="AI4" s="43" t="s">
        <v>1</v>
      </c>
      <c r="AJ4" s="43" t="s">
        <v>4</v>
      </c>
      <c r="AK4" s="14"/>
      <c r="AL4" s="13" t="s">
        <v>2</v>
      </c>
      <c r="AM4" s="13" t="s">
        <v>1</v>
      </c>
      <c r="AN4" s="13" t="s">
        <v>4</v>
      </c>
      <c r="AO4" s="13"/>
      <c r="AP4" s="13" t="s">
        <v>2</v>
      </c>
      <c r="AQ4" s="13" t="s">
        <v>1</v>
      </c>
      <c r="AR4" s="13" t="s">
        <v>4</v>
      </c>
      <c r="AS4" s="14"/>
      <c r="AT4" s="43" t="s">
        <v>2</v>
      </c>
      <c r="AU4" s="43" t="s">
        <v>1</v>
      </c>
      <c r="AV4" s="43" t="s">
        <v>4</v>
      </c>
      <c r="AW4" s="43"/>
      <c r="AX4" s="43" t="s">
        <v>2</v>
      </c>
      <c r="AY4" s="43" t="s">
        <v>1</v>
      </c>
      <c r="AZ4" s="43" t="s">
        <v>4</v>
      </c>
      <c r="BB4" s="13" t="s">
        <v>2</v>
      </c>
      <c r="BC4" s="13" t="s">
        <v>1</v>
      </c>
      <c r="BD4" s="13" t="s">
        <v>4</v>
      </c>
      <c r="BE4" s="13"/>
      <c r="BF4" s="13" t="s">
        <v>2</v>
      </c>
      <c r="BG4" s="13" t="s">
        <v>1</v>
      </c>
      <c r="BH4" s="13" t="s">
        <v>4</v>
      </c>
    </row>
    <row r="5" spans="1:62" s="20" customFormat="1">
      <c r="A5" s="15">
        <v>1917</v>
      </c>
      <c r="B5" s="45">
        <v>4.4090587645769119E-2</v>
      </c>
      <c r="C5" s="45">
        <v>3.7426386028528214E-2</v>
      </c>
      <c r="D5" s="45">
        <v>3.0051909387111664E-2</v>
      </c>
      <c r="E5" s="16"/>
      <c r="F5" s="57">
        <v>16.963498798524888</v>
      </c>
      <c r="G5" s="17"/>
      <c r="H5" s="70">
        <v>3.3307691380518309</v>
      </c>
      <c r="I5" s="71">
        <v>8.3578808480598283</v>
      </c>
      <c r="J5" s="72">
        <v>17.599487458195231</v>
      </c>
      <c r="K5" s="18"/>
      <c r="L5" s="23">
        <v>41827.079800761137</v>
      </c>
      <c r="M5" s="23">
        <f t="shared" ref="M5:M36" si="0">H5*$L5/100</f>
        <v>1393.1634653520634</v>
      </c>
      <c r="N5" s="23">
        <f t="shared" ref="N5:N36" si="1">I5*$L5/100</f>
        <v>3495.8574919705161</v>
      </c>
      <c r="O5" s="23">
        <f t="shared" ref="O5:O36" si="2">J5*$L5/100</f>
        <v>7361.3516636642671</v>
      </c>
      <c r="P5" s="23"/>
      <c r="Q5" s="69">
        <v>40386.988274838346</v>
      </c>
      <c r="R5" s="19">
        <f>$Q5*0.0001</f>
        <v>4.0386988274838345</v>
      </c>
      <c r="S5" s="19">
        <f>$Q5*0.001</f>
        <v>40.386988274838345</v>
      </c>
      <c r="T5" s="19">
        <f t="shared" ref="T5:T20" si="3">$Q5*0.01</f>
        <v>403.86988274838347</v>
      </c>
      <c r="U5" s="19"/>
      <c r="V5" s="19">
        <f>B5*M5*$F5</f>
        <v>1041.989629107321</v>
      </c>
      <c r="W5" s="19">
        <f>C5*N5*$F5</f>
        <v>2219.4585848329875</v>
      </c>
      <c r="X5" s="19">
        <f>D5*O5*$F5</f>
        <v>3752.7105504087494</v>
      </c>
      <c r="Z5" s="24">
        <f>V5/$R5*1000000/1000</f>
        <v>258001.32013223055</v>
      </c>
      <c r="AA5" s="24">
        <f>W5/$S5*1000000/1000</f>
        <v>54954.793106366422</v>
      </c>
      <c r="AB5" s="24">
        <f>X5/$T5*1000000/1000</f>
        <v>9291.8801592015207</v>
      </c>
      <c r="AC5" s="24"/>
      <c r="AD5" s="19"/>
      <c r="AE5" s="19"/>
      <c r="AF5" s="19"/>
      <c r="AH5" s="24"/>
      <c r="AI5" s="24"/>
      <c r="AJ5" s="24"/>
      <c r="AK5" s="44"/>
      <c r="AL5" s="44"/>
      <c r="AM5" s="44"/>
      <c r="AN5" s="44"/>
      <c r="AO5" s="44"/>
      <c r="AS5" s="44"/>
      <c r="BB5" s="52">
        <f>V5/$F5</f>
        <v>61.425395873988585</v>
      </c>
      <c r="BC5" s="52">
        <f>W5/$F5</f>
        <v>130.837311995211</v>
      </c>
      <c r="BD5" s="52">
        <f>X5/$F5</f>
        <v>221.22267316310226</v>
      </c>
      <c r="BE5" s="44"/>
      <c r="BF5" s="45">
        <f>BB5/'TA1'!AJ11</f>
        <v>3.012750638177418E-2</v>
      </c>
      <c r="BG5" s="45">
        <f>BC5/'TA1'!AI11</f>
        <v>2.6131837841349207E-2</v>
      </c>
      <c r="BH5" s="45">
        <f>BD5/'TA1'!AG11</f>
        <v>2.1639227010863165E-2</v>
      </c>
      <c r="BJ5" s="2"/>
    </row>
    <row r="6" spans="1:62">
      <c r="A6" s="1">
        <v>1918</v>
      </c>
      <c r="B6" s="26"/>
      <c r="C6" s="26"/>
      <c r="D6" s="26"/>
      <c r="E6" s="5"/>
      <c r="F6" s="57">
        <v>14.443422480340484</v>
      </c>
      <c r="G6" s="10"/>
      <c r="H6" s="70">
        <v>2.4481629304319621</v>
      </c>
      <c r="I6" s="71">
        <v>6.7411642602400779</v>
      </c>
      <c r="J6" s="72">
        <v>15.883220435548376</v>
      </c>
      <c r="K6" s="7"/>
      <c r="L6" s="21">
        <v>46568.457916190804</v>
      </c>
      <c r="M6" s="21">
        <f t="shared" si="0"/>
        <v>1140.0717239779917</v>
      </c>
      <c r="N6" s="21">
        <f t="shared" si="1"/>
        <v>3139.2562415911957</v>
      </c>
      <c r="O6" s="21">
        <f t="shared" si="2"/>
        <v>7396.5708242641631</v>
      </c>
      <c r="P6" s="21"/>
      <c r="Q6" s="69">
        <v>40451.066003008054</v>
      </c>
      <c r="R6" s="8">
        <f t="shared" ref="R6:R69" si="4">$Q6*0.0001</f>
        <v>4.045106600300806</v>
      </c>
      <c r="S6" s="8">
        <f t="shared" ref="S6:S69" si="5">$Q6*0.001</f>
        <v>40.451066003008059</v>
      </c>
      <c r="T6" s="8">
        <f t="shared" si="3"/>
        <v>404.51066003008054</v>
      </c>
      <c r="V6" s="8"/>
      <c r="W6" s="8"/>
      <c r="X6" s="8"/>
      <c r="Z6" s="25"/>
      <c r="AA6" s="25"/>
      <c r="AB6" s="25"/>
      <c r="AC6" s="25"/>
      <c r="AD6" s="8"/>
      <c r="AE6" s="8"/>
      <c r="AF6" s="8"/>
      <c r="AH6" s="25"/>
      <c r="AI6" s="25"/>
      <c r="AJ6" s="25"/>
      <c r="AK6" s="25"/>
      <c r="AL6" s="25"/>
      <c r="AM6" s="25"/>
      <c r="AN6" s="25"/>
      <c r="AO6" s="25"/>
      <c r="AS6" s="25"/>
      <c r="BB6" s="51"/>
      <c r="BC6" s="51"/>
      <c r="BD6" s="51"/>
      <c r="BE6" s="25"/>
    </row>
    <row r="7" spans="1:62">
      <c r="A7" s="39">
        <v>1919</v>
      </c>
      <c r="B7" s="26"/>
      <c r="C7" s="26"/>
      <c r="D7" s="26"/>
      <c r="E7" s="5"/>
      <c r="F7" s="57">
        <v>12.575257796589881</v>
      </c>
      <c r="G7" s="10"/>
      <c r="H7" s="70">
        <v>2.2202065921126208</v>
      </c>
      <c r="I7" s="71">
        <v>6.4539788483073588</v>
      </c>
      <c r="J7" s="72">
        <v>15.867414854522684</v>
      </c>
      <c r="K7" s="7"/>
      <c r="L7" s="21">
        <v>53163.650809030129</v>
      </c>
      <c r="M7" s="21">
        <f t="shared" si="0"/>
        <v>1180.3428798698217</v>
      </c>
      <c r="N7" s="21">
        <f t="shared" si="1"/>
        <v>3431.1707782027888</v>
      </c>
      <c r="O7" s="21">
        <f t="shared" si="2"/>
        <v>8435.6970256786153</v>
      </c>
      <c r="P7" s="21"/>
      <c r="Q7" s="69">
        <v>41052.355021208234</v>
      </c>
      <c r="R7" s="8">
        <f t="shared" si="4"/>
        <v>4.1052355021208236</v>
      </c>
      <c r="S7" s="8">
        <f t="shared" si="5"/>
        <v>41.052355021208236</v>
      </c>
      <c r="T7" s="8">
        <f t="shared" si="3"/>
        <v>410.52355021208234</v>
      </c>
      <c r="V7" s="8"/>
      <c r="W7" s="8"/>
      <c r="X7" s="8"/>
      <c r="Z7" s="25"/>
      <c r="AA7" s="25"/>
      <c r="AB7" s="25"/>
      <c r="AC7" s="25"/>
      <c r="AD7" s="25"/>
      <c r="AE7" s="25"/>
      <c r="AF7" s="25"/>
      <c r="AG7" s="25"/>
      <c r="AH7" s="25"/>
      <c r="AI7" s="25"/>
      <c r="AJ7" s="25"/>
      <c r="AK7" s="25"/>
      <c r="AL7" s="25"/>
      <c r="AM7" s="25"/>
      <c r="AN7" s="25"/>
      <c r="AO7" s="25"/>
      <c r="AS7" s="25"/>
      <c r="BB7" s="51"/>
      <c r="BC7" s="51"/>
      <c r="BD7" s="51"/>
      <c r="BE7" s="25"/>
    </row>
    <row r="8" spans="1:62">
      <c r="A8" s="39">
        <v>1920</v>
      </c>
      <c r="B8" s="26"/>
      <c r="C8" s="26"/>
      <c r="D8" s="26"/>
      <c r="E8" s="5"/>
      <c r="F8" s="57">
        <v>10.856639231055928</v>
      </c>
      <c r="G8" s="10"/>
      <c r="H8" s="70">
        <v>1.6716386264226366</v>
      </c>
      <c r="I8" s="71">
        <v>5.3714330344460741</v>
      </c>
      <c r="J8" s="72">
        <v>14.459042055439385</v>
      </c>
      <c r="K8" s="7"/>
      <c r="L8" s="21">
        <v>56062.049220036817</v>
      </c>
      <c r="M8" s="21">
        <f t="shared" si="0"/>
        <v>937.15486952620586</v>
      </c>
      <c r="N8" s="21">
        <f t="shared" si="1"/>
        <v>3011.3354315924753</v>
      </c>
      <c r="O8" s="21">
        <f t="shared" si="2"/>
        <v>8106.0352738662505</v>
      </c>
      <c r="P8" s="21"/>
      <c r="Q8" s="69">
        <v>41909</v>
      </c>
      <c r="R8" s="8">
        <f t="shared" si="4"/>
        <v>4.1909000000000001</v>
      </c>
      <c r="S8" s="8">
        <f t="shared" si="5"/>
        <v>41.908999999999999</v>
      </c>
      <c r="T8" s="8">
        <f t="shared" si="3"/>
        <v>419.09000000000003</v>
      </c>
      <c r="V8" s="8"/>
      <c r="W8" s="8"/>
      <c r="X8" s="8"/>
      <c r="Z8" s="25"/>
      <c r="AA8" s="25"/>
      <c r="AB8" s="25"/>
      <c r="AC8" s="25"/>
      <c r="AD8" s="25"/>
      <c r="AE8" s="25"/>
      <c r="AF8" s="25"/>
      <c r="AG8" s="25"/>
      <c r="AH8" s="25"/>
      <c r="AI8" s="25"/>
      <c r="AJ8" s="25"/>
      <c r="AK8" s="25"/>
      <c r="AL8" s="25"/>
      <c r="AM8" s="25"/>
      <c r="AN8" s="25"/>
      <c r="AO8" s="25"/>
      <c r="AS8" s="25"/>
      <c r="BB8" s="51"/>
      <c r="BC8" s="51"/>
      <c r="BD8" s="51"/>
      <c r="BE8" s="25"/>
    </row>
    <row r="9" spans="1:62">
      <c r="A9" s="39">
        <v>1921</v>
      </c>
      <c r="B9" s="26"/>
      <c r="C9" s="26"/>
      <c r="D9" s="26"/>
      <c r="E9" s="5"/>
      <c r="F9" s="57">
        <v>12.152954363122307</v>
      </c>
      <c r="G9" s="10"/>
      <c r="H9" s="70">
        <v>1.6892103882340819</v>
      </c>
      <c r="I9" s="71">
        <v>5.6021650083906449</v>
      </c>
      <c r="J9" s="72">
        <v>15.472929986471554</v>
      </c>
      <c r="K9" s="7"/>
      <c r="L9" s="21">
        <v>45161.887414010263</v>
      </c>
      <c r="M9" s="21">
        <f t="shared" si="0"/>
        <v>762.8792937200418</v>
      </c>
      <c r="N9" s="21">
        <f t="shared" si="1"/>
        <v>2530.0434538364616</v>
      </c>
      <c r="O9" s="21">
        <f t="shared" si="2"/>
        <v>6987.8672201389163</v>
      </c>
      <c r="P9" s="21"/>
      <c r="Q9" s="69">
        <v>42835.194914792832</v>
      </c>
      <c r="R9" s="8">
        <f t="shared" si="4"/>
        <v>4.2835194914792831</v>
      </c>
      <c r="S9" s="8">
        <f t="shared" si="5"/>
        <v>42.835194914792829</v>
      </c>
      <c r="T9" s="8">
        <f t="shared" si="3"/>
        <v>428.35194914792834</v>
      </c>
      <c r="V9" s="8"/>
      <c r="W9" s="8"/>
      <c r="X9" s="8"/>
      <c r="Z9" s="25"/>
      <c r="AA9" s="25"/>
      <c r="AB9" s="25"/>
      <c r="AC9" s="25"/>
      <c r="AD9" s="25"/>
      <c r="AE9" s="25"/>
      <c r="AF9" s="25"/>
      <c r="AG9" s="25"/>
      <c r="AH9" s="25"/>
      <c r="AI9" s="25"/>
      <c r="AJ9" s="25"/>
      <c r="AK9" s="25"/>
      <c r="AL9" s="25"/>
      <c r="AM9" s="25"/>
      <c r="AN9" s="25"/>
      <c r="AO9" s="25"/>
      <c r="AS9" s="25"/>
      <c r="BB9" s="51"/>
      <c r="BC9" s="51"/>
      <c r="BD9" s="51"/>
      <c r="BE9" s="25"/>
    </row>
    <row r="10" spans="1:62">
      <c r="A10" s="39">
        <v>1922</v>
      </c>
      <c r="B10" s="26">
        <v>3.278394415974617E-2</v>
      </c>
      <c r="C10" s="26">
        <v>3.0350007116794586E-2</v>
      </c>
      <c r="D10" s="26">
        <v>2.8445105999708176E-2</v>
      </c>
      <c r="E10" s="5"/>
      <c r="F10" s="57">
        <v>12.976062825963259</v>
      </c>
      <c r="G10" s="10"/>
      <c r="H10" s="70">
        <v>2.0093203672445035</v>
      </c>
      <c r="I10" s="71">
        <v>6.1685282053958774</v>
      </c>
      <c r="J10" s="72">
        <v>16.292319490434096</v>
      </c>
      <c r="K10" s="7"/>
      <c r="L10" s="21">
        <v>48546.747408196876</v>
      </c>
      <c r="M10" s="21">
        <f t="shared" si="0"/>
        <v>975.45968330764299</v>
      </c>
      <c r="N10" s="21">
        <f t="shared" si="1"/>
        <v>2994.6198066769161</v>
      </c>
      <c r="O10" s="21">
        <f t="shared" si="2"/>
        <v>7909.3911899574696</v>
      </c>
      <c r="P10" s="21"/>
      <c r="Q10" s="69">
        <v>43542.908902835123</v>
      </c>
      <c r="R10" s="8">
        <f t="shared" si="4"/>
        <v>4.3542908902835125</v>
      </c>
      <c r="S10" s="8">
        <f t="shared" si="5"/>
        <v>43.542908902835123</v>
      </c>
      <c r="T10" s="8">
        <f t="shared" si="3"/>
        <v>435.42908902835126</v>
      </c>
      <c r="V10" s="8">
        <f t="shared" ref="V10:V30" si="6">B10*M10*$F10</f>
        <v>414.96690839803676</v>
      </c>
      <c r="W10" s="8">
        <f t="shared" ref="W10:W30" si="7">C10*N10*$F10</f>
        <v>1179.3519502494391</v>
      </c>
      <c r="X10" s="8">
        <f t="shared" ref="X10:X30" si="8">D10*O10*$F10</f>
        <v>2919.3996517937508</v>
      </c>
      <c r="Z10" s="22">
        <f t="shared" ref="Z10:Z30" si="9">V10/R10*1000000/1000</f>
        <v>95300.68588757464</v>
      </c>
      <c r="AA10" s="22">
        <f t="shared" ref="AA10:AA30" si="10">W10/S10*1000000/1000</f>
        <v>27084.822304387897</v>
      </c>
      <c r="AB10" s="22">
        <f t="shared" ref="AB10:AB30" si="11">X10/T10*1000000/1000</f>
        <v>6704.6500230572919</v>
      </c>
      <c r="AC10" s="22"/>
      <c r="AD10" s="22"/>
      <c r="AE10" s="22"/>
      <c r="AF10" s="22"/>
      <c r="AG10" s="22"/>
      <c r="AH10" s="22"/>
      <c r="AI10" s="22"/>
      <c r="AJ10" s="22"/>
      <c r="AK10" s="25"/>
      <c r="AL10" s="25"/>
      <c r="AM10" s="25"/>
      <c r="AN10" s="25"/>
      <c r="AO10" s="25"/>
      <c r="AS10" s="25"/>
      <c r="BB10" s="52">
        <f t="shared" ref="BB10:BB30" si="12">V10/$F10</f>
        <v>31.97941578764145</v>
      </c>
      <c r="BC10" s="52">
        <f t="shared" ref="BC10:BC30" si="13">W10/$F10</f>
        <v>90.886732444738428</v>
      </c>
      <c r="BD10" s="52">
        <f t="shared" ref="BD10:BD30" si="14">X10/$F10</f>
        <v>224.98347079149821</v>
      </c>
      <c r="BE10" s="25"/>
      <c r="BF10" s="45">
        <f>BB10/'TA1'!AJ16</f>
        <v>2.3756734268379463E-2</v>
      </c>
      <c r="BG10" s="45">
        <f>BC10/'TA1'!AI16</f>
        <v>2.1251914728282719E-2</v>
      </c>
      <c r="BH10" s="45">
        <f>BD10/'TA1'!AG16</f>
        <v>1.9541856798835418E-2</v>
      </c>
    </row>
    <row r="11" spans="1:62">
      <c r="A11" s="39">
        <v>1923</v>
      </c>
      <c r="B11" s="26">
        <v>3.5604115575551987E-2</v>
      </c>
      <c r="C11" s="26">
        <v>3.2255783677101135E-2</v>
      </c>
      <c r="D11" s="26">
        <v>2.8323858976364136E-2</v>
      </c>
      <c r="E11" s="5"/>
      <c r="F11" s="57">
        <v>12.747521602022617</v>
      </c>
      <c r="G11" s="10"/>
      <c r="H11" s="70">
        <v>1.7515973184398406</v>
      </c>
      <c r="I11" s="71">
        <v>5.5038652248768205</v>
      </c>
      <c r="J11" s="72">
        <v>14.991004682031273</v>
      </c>
      <c r="K11" s="7"/>
      <c r="L11" s="21">
        <v>56061.234376513916</v>
      </c>
      <c r="M11" s="21">
        <f t="shared" si="0"/>
        <v>981.96707802329183</v>
      </c>
      <c r="N11" s="21">
        <f t="shared" si="1"/>
        <v>3085.5347834856389</v>
      </c>
      <c r="O11" s="21">
        <f t="shared" si="2"/>
        <v>8404.1422701877254</v>
      </c>
      <c r="P11" s="21"/>
      <c r="Q11" s="69">
        <v>44408.548690457501</v>
      </c>
      <c r="R11" s="8">
        <f t="shared" si="4"/>
        <v>4.4408548690457499</v>
      </c>
      <c r="S11" s="8">
        <f t="shared" si="5"/>
        <v>44.408548690457501</v>
      </c>
      <c r="T11" s="8">
        <f t="shared" si="3"/>
        <v>444.08548690457502</v>
      </c>
      <c r="V11" s="8">
        <f t="shared" si="6"/>
        <v>445.67973412900585</v>
      </c>
      <c r="W11" s="8">
        <f t="shared" si="7"/>
        <v>1268.7142010436603</v>
      </c>
      <c r="X11" s="8">
        <f t="shared" si="8"/>
        <v>3034.3912388412064</v>
      </c>
      <c r="Z11" s="22">
        <f t="shared" si="9"/>
        <v>100358.99556987177</v>
      </c>
      <c r="AA11" s="22">
        <f t="shared" si="10"/>
        <v>28569.143519798956</v>
      </c>
      <c r="AB11" s="22">
        <f t="shared" si="11"/>
        <v>6832.8989087032151</v>
      </c>
      <c r="AC11" s="22"/>
      <c r="AD11" s="22"/>
      <c r="AE11" s="22"/>
      <c r="AF11" s="22"/>
      <c r="AG11" s="22"/>
      <c r="AH11" s="22"/>
      <c r="AI11" s="22"/>
      <c r="AJ11" s="22"/>
      <c r="AK11" s="25"/>
      <c r="AL11" s="25"/>
      <c r="AM11" s="25"/>
      <c r="AN11" s="25"/>
      <c r="AO11" s="25"/>
      <c r="AS11" s="25"/>
      <c r="BB11" s="52">
        <f t="shared" si="12"/>
        <v>34.962069337328359</v>
      </c>
      <c r="BC11" s="52">
        <f t="shared" si="13"/>
        <v>99.526342504283861</v>
      </c>
      <c r="BD11" s="52">
        <f t="shared" si="14"/>
        <v>238.03774047809787</v>
      </c>
      <c r="BE11" s="25"/>
      <c r="BF11" s="45">
        <f>BB11/'TA1'!AJ17</f>
        <v>2.1331270457039007E-2</v>
      </c>
      <c r="BG11" s="45">
        <f>BC11/'TA1'!AI17</f>
        <v>1.990115635952935E-2</v>
      </c>
      <c r="BH11" s="45">
        <f>BD11/'TA1'!AG17</f>
        <v>1.8291140073687449E-2</v>
      </c>
    </row>
    <row r="12" spans="1:62">
      <c r="A12" s="39">
        <v>1924</v>
      </c>
      <c r="B12" s="26">
        <v>3.6353945732116699E-2</v>
      </c>
      <c r="C12" s="26">
        <v>3.2178658992052078E-2</v>
      </c>
      <c r="D12" s="26">
        <v>2.6741614565253258E-2</v>
      </c>
      <c r="E12" s="5"/>
      <c r="F12" s="57">
        <v>12.722624098893666</v>
      </c>
      <c r="G12" s="10"/>
      <c r="H12" s="70">
        <v>2.0087135732595818</v>
      </c>
      <c r="I12" s="71">
        <v>6.1401284958182245</v>
      </c>
      <c r="J12" s="72">
        <v>16.315906869089506</v>
      </c>
      <c r="K12" s="7"/>
      <c r="L12" s="21">
        <v>56717.183412460028</v>
      </c>
      <c r="M12" s="21">
        <f t="shared" si="0"/>
        <v>1139.2857615766166</v>
      </c>
      <c r="N12" s="21">
        <f t="shared" si="1"/>
        <v>3482.5079407339454</v>
      </c>
      <c r="O12" s="21">
        <f t="shared" si="2"/>
        <v>9253.9228243476591</v>
      </c>
      <c r="P12" s="21"/>
      <c r="Q12" s="69">
        <v>45384.476316701766</v>
      </c>
      <c r="R12" s="8">
        <f t="shared" si="4"/>
        <v>4.5384476316701772</v>
      </c>
      <c r="S12" s="8">
        <f t="shared" si="5"/>
        <v>45.384476316701765</v>
      </c>
      <c r="T12" s="8">
        <f t="shared" si="3"/>
        <v>453.84476316701767</v>
      </c>
      <c r="V12" s="8">
        <f t="shared" si="6"/>
        <v>526.93970027842693</v>
      </c>
      <c r="W12" s="8">
        <f t="shared" si="7"/>
        <v>1425.7282419894448</v>
      </c>
      <c r="X12" s="8">
        <f t="shared" si="8"/>
        <v>3148.4021037470825</v>
      </c>
      <c r="Z12" s="22">
        <f t="shared" si="9"/>
        <v>116105.71346055387</v>
      </c>
      <c r="AA12" s="22">
        <f t="shared" si="10"/>
        <v>31414.447355091943</v>
      </c>
      <c r="AB12" s="22">
        <f t="shared" si="11"/>
        <v>6937.1784347073117</v>
      </c>
      <c r="AC12" s="22"/>
      <c r="AD12" s="22"/>
      <c r="AE12" s="22"/>
      <c r="AF12" s="22"/>
      <c r="AG12" s="22"/>
      <c r="AH12" s="22"/>
      <c r="AI12" s="22"/>
      <c r="AJ12" s="22"/>
      <c r="AK12" s="25"/>
      <c r="AL12" s="25"/>
      <c r="AM12" s="25"/>
      <c r="AN12" s="25"/>
      <c r="AO12" s="25"/>
      <c r="AS12" s="25"/>
      <c r="BB12" s="52">
        <f t="shared" si="12"/>
        <v>41.41753274972956</v>
      </c>
      <c r="BC12" s="52">
        <f t="shared" si="13"/>
        <v>112.06243546199114</v>
      </c>
      <c r="BD12" s="52">
        <f t="shared" si="14"/>
        <v>247.46483738530492</v>
      </c>
      <c r="BE12" s="25"/>
      <c r="BF12" s="45">
        <f>BB12/'TA1'!AJ18</f>
        <v>2.4245232647264251E-2</v>
      </c>
      <c r="BG12" s="45">
        <f>BC12/'TA1'!AI18</f>
        <v>2.1409866453935989E-2</v>
      </c>
      <c r="BH12" s="45">
        <f>BD12/'TA1'!AG18</f>
        <v>1.8066833009164226E-2</v>
      </c>
    </row>
    <row r="13" spans="1:62">
      <c r="A13" s="39">
        <v>1925</v>
      </c>
      <c r="B13" s="26">
        <v>2.6901287958025932E-2</v>
      </c>
      <c r="C13" s="26">
        <v>2.6897955685853958E-2</v>
      </c>
      <c r="D13" s="26">
        <v>2.3812009021639824E-2</v>
      </c>
      <c r="E13" s="5"/>
      <c r="F13" s="57">
        <v>12.407587692635344</v>
      </c>
      <c r="G13" s="10"/>
      <c r="H13" s="70">
        <v>2.3450783923630882</v>
      </c>
      <c r="I13" s="71">
        <v>6.7520291796493837</v>
      </c>
      <c r="J13" s="72">
        <v>17.602806588875772</v>
      </c>
      <c r="K13" s="7"/>
      <c r="L13" s="21">
        <v>59773.661466912105</v>
      </c>
      <c r="M13" s="21">
        <f t="shared" si="0"/>
        <v>1401.739219384817</v>
      </c>
      <c r="N13" s="21">
        <f t="shared" si="1"/>
        <v>4035.9350639907452</v>
      </c>
      <c r="O13" s="21">
        <f t="shared" si="2"/>
        <v>10521.842019109903</v>
      </c>
      <c r="P13" s="21"/>
      <c r="Q13" s="69">
        <v>46190.080965008812</v>
      </c>
      <c r="R13" s="8">
        <f t="shared" si="4"/>
        <v>4.6190080965008811</v>
      </c>
      <c r="S13" s="8">
        <f t="shared" si="5"/>
        <v>46.190080965008811</v>
      </c>
      <c r="T13" s="8">
        <f t="shared" si="3"/>
        <v>461.90080965008815</v>
      </c>
      <c r="V13" s="8">
        <f t="shared" si="6"/>
        <v>467.87264193938137</v>
      </c>
      <c r="W13" s="8">
        <f t="shared" si="7"/>
        <v>1346.9478988185404</v>
      </c>
      <c r="X13" s="8">
        <f t="shared" si="8"/>
        <v>3108.6739113675158</v>
      </c>
      <c r="Z13" s="22">
        <f t="shared" si="9"/>
        <v>101292.88197044235</v>
      </c>
      <c r="AA13" s="22">
        <f t="shared" si="10"/>
        <v>29160.97722017239</v>
      </c>
      <c r="AB13" s="22">
        <f t="shared" si="11"/>
        <v>6730.1763634544923</v>
      </c>
      <c r="AC13" s="22"/>
      <c r="AD13" s="22"/>
      <c r="AE13" s="22"/>
      <c r="AF13" s="22"/>
      <c r="AG13" s="22"/>
      <c r="AH13" s="22"/>
      <c r="AI13" s="22"/>
      <c r="AJ13" s="22"/>
      <c r="AK13" s="25"/>
      <c r="AL13" s="25"/>
      <c r="AM13" s="25"/>
      <c r="AN13" s="25"/>
      <c r="AO13" s="25"/>
      <c r="AS13" s="25"/>
      <c r="BB13" s="52">
        <f t="shared" si="12"/>
        <v>37.708590382729447</v>
      </c>
      <c r="BC13" s="52">
        <f t="shared" si="13"/>
        <v>108.55840250220723</v>
      </c>
      <c r="BD13" s="52">
        <f t="shared" si="14"/>
        <v>250.54619708331396</v>
      </c>
      <c r="BE13" s="25"/>
      <c r="BF13" s="45">
        <f>BB13/'TA1'!AJ19</f>
        <v>1.6051211819229989E-2</v>
      </c>
      <c r="BG13" s="45">
        <f>BC13/'TA1'!AI19</f>
        <v>1.6695623232271195E-2</v>
      </c>
      <c r="BH13" s="45">
        <f>BD13/'TA1'!AG19</f>
        <v>1.531171519454466E-2</v>
      </c>
    </row>
    <row r="14" spans="1:62">
      <c r="A14" s="39">
        <v>1926</v>
      </c>
      <c r="B14" s="26">
        <v>2.8996966779232025E-2</v>
      </c>
      <c r="C14" s="26">
        <v>2.9064007103443146E-2</v>
      </c>
      <c r="D14" s="26">
        <v>2.5866841897368431E-2</v>
      </c>
      <c r="E14" s="5"/>
      <c r="F14" s="57">
        <v>12.290534978553882</v>
      </c>
      <c r="G14" s="10"/>
      <c r="H14" s="70">
        <v>2.538778969872193</v>
      </c>
      <c r="I14" s="71">
        <v>7.0681737726868112</v>
      </c>
      <c r="J14" s="72">
        <v>18.011497014310468</v>
      </c>
      <c r="K14" s="7"/>
      <c r="L14" s="21">
        <v>61992.480379808163</v>
      </c>
      <c r="M14" s="21">
        <f t="shared" si="0"/>
        <v>1573.8520547847149</v>
      </c>
      <c r="N14" s="21">
        <f t="shared" si="1"/>
        <v>4381.736239243618</v>
      </c>
      <c r="O14" s="21">
        <f t="shared" si="2"/>
        <v>11165.773752706149</v>
      </c>
      <c r="P14" s="21"/>
      <c r="Q14" s="69">
        <v>46940.016465398301</v>
      </c>
      <c r="R14" s="8">
        <f t="shared" si="4"/>
        <v>4.6940016465398307</v>
      </c>
      <c r="S14" s="8">
        <f t="shared" si="5"/>
        <v>46.940016465398301</v>
      </c>
      <c r="T14" s="8">
        <f t="shared" si="3"/>
        <v>469.40016465398304</v>
      </c>
      <c r="V14" s="8">
        <f t="shared" si="6"/>
        <v>560.90235512503671</v>
      </c>
      <c r="W14" s="8">
        <f t="shared" si="7"/>
        <v>1565.2096239703708</v>
      </c>
      <c r="X14" s="8">
        <f t="shared" si="8"/>
        <v>3549.7929244037887</v>
      </c>
      <c r="Z14" s="22">
        <f t="shared" si="9"/>
        <v>119493.42956419801</v>
      </c>
      <c r="AA14" s="22">
        <f t="shared" si="10"/>
        <v>33344.888686269645</v>
      </c>
      <c r="AB14" s="22">
        <f t="shared" si="11"/>
        <v>7562.4023843717823</v>
      </c>
      <c r="AC14" s="22"/>
      <c r="AD14" s="22"/>
      <c r="AE14" s="22"/>
      <c r="AF14" s="22"/>
      <c r="AG14" s="22"/>
      <c r="AH14" s="22"/>
      <c r="AI14" s="22"/>
      <c r="AJ14" s="22"/>
      <c r="AK14" s="25"/>
      <c r="AL14" s="25"/>
      <c r="AM14" s="25"/>
      <c r="AN14" s="25"/>
      <c r="AO14" s="25"/>
      <c r="AS14" s="25"/>
      <c r="BB14" s="52">
        <f t="shared" si="12"/>
        <v>45.636935748018438</v>
      </c>
      <c r="BC14" s="52">
        <f t="shared" si="13"/>
        <v>127.35081318279076</v>
      </c>
      <c r="BD14" s="52">
        <f t="shared" si="14"/>
        <v>288.82330432303615</v>
      </c>
      <c r="BE14" s="25"/>
      <c r="BF14" s="45">
        <f>BB14/'TA1'!AJ20</f>
        <v>1.5436986584973911E-2</v>
      </c>
      <c r="BG14" s="45">
        <f>BC14/'TA1'!AI20</f>
        <v>1.6372407755276049E-2</v>
      </c>
      <c r="BH14" s="45">
        <f>BD14/'TA1'!AG20</f>
        <v>1.5499554700190229E-2</v>
      </c>
    </row>
    <row r="15" spans="1:62">
      <c r="A15" s="39">
        <v>1927</v>
      </c>
      <c r="B15" s="26">
        <v>3.0209345743060112E-2</v>
      </c>
      <c r="C15" s="26">
        <v>2.9656426981091499E-2</v>
      </c>
      <c r="D15" s="26">
        <v>2.6357743889093399E-2</v>
      </c>
      <c r="E15" s="5"/>
      <c r="F15" s="57">
        <v>12.526891420449148</v>
      </c>
      <c r="G15" s="10"/>
      <c r="H15" s="70">
        <v>2.7581348811531092</v>
      </c>
      <c r="I15" s="71">
        <v>7.4726058910537043</v>
      </c>
      <c r="J15" s="72">
        <v>18.67888575023515</v>
      </c>
      <c r="K15" s="7"/>
      <c r="L15" s="21">
        <v>62292.342796240686</v>
      </c>
      <c r="M15" s="21">
        <f t="shared" si="0"/>
        <v>1718.1068349505804</v>
      </c>
      <c r="N15" s="21">
        <f t="shared" si="1"/>
        <v>4654.8612774672492</v>
      </c>
      <c r="O15" s="21">
        <f t="shared" si="2"/>
        <v>11635.515542054633</v>
      </c>
      <c r="P15" s="21"/>
      <c r="Q15" s="69">
        <v>47722.889407422103</v>
      </c>
      <c r="R15" s="8">
        <f t="shared" si="4"/>
        <v>4.7722889407422109</v>
      </c>
      <c r="S15" s="8">
        <f t="shared" si="5"/>
        <v>47.722889407422102</v>
      </c>
      <c r="T15" s="8">
        <f t="shared" si="3"/>
        <v>477.22889407422105</v>
      </c>
      <c r="V15" s="8">
        <f t="shared" si="6"/>
        <v>650.181784766757</v>
      </c>
      <c r="W15" s="8">
        <f t="shared" si="7"/>
        <v>1729.2941876929103</v>
      </c>
      <c r="X15" s="8">
        <f t="shared" si="8"/>
        <v>3841.8214539607743</v>
      </c>
      <c r="Z15" s="22">
        <f t="shared" si="9"/>
        <v>136241.07694234402</v>
      </c>
      <c r="AA15" s="22">
        <f t="shared" si="10"/>
        <v>36236.158563860168</v>
      </c>
      <c r="AB15" s="22">
        <f t="shared" si="11"/>
        <v>8050.2700101877626</v>
      </c>
      <c r="AC15" s="22"/>
      <c r="AD15" s="22"/>
      <c r="AE15" s="22"/>
      <c r="AF15" s="22"/>
      <c r="AG15" s="22"/>
      <c r="AH15" s="22"/>
      <c r="AI15" s="22"/>
      <c r="AJ15" s="22"/>
      <c r="AK15" s="25"/>
      <c r="AL15" s="25"/>
      <c r="AM15" s="25"/>
      <c r="AN15" s="25"/>
      <c r="AO15" s="25"/>
      <c r="AS15" s="25"/>
      <c r="BB15" s="52">
        <f t="shared" si="12"/>
        <v>51.902883400536801</v>
      </c>
      <c r="BC15" s="52">
        <f t="shared" si="13"/>
        <v>138.04655358231778</v>
      </c>
      <c r="BD15" s="52">
        <f t="shared" si="14"/>
        <v>306.68593867504177</v>
      </c>
      <c r="BE15" s="25"/>
      <c r="BF15" s="45">
        <f>BB15/'TA1'!AJ21</f>
        <v>1.9322068743882818E-2</v>
      </c>
      <c r="BG15" s="45">
        <f>BC15/'TA1'!AI21</f>
        <v>1.934306499615426E-2</v>
      </c>
      <c r="BH15" s="45">
        <f>BD15/'TA1'!AG21</f>
        <v>1.7491476983707895E-2</v>
      </c>
    </row>
    <row r="16" spans="1:62">
      <c r="A16" s="39">
        <v>1928</v>
      </c>
      <c r="B16" s="26">
        <v>2.546476386487484E-2</v>
      </c>
      <c r="C16" s="26">
        <v>2.5770574808120728E-2</v>
      </c>
      <c r="D16" s="26">
        <v>2.4266473948955536E-2</v>
      </c>
      <c r="E16" s="5"/>
      <c r="F16" s="57">
        <v>12.697823662053718</v>
      </c>
      <c r="G16" s="10"/>
      <c r="H16" s="70">
        <v>3.2254883590899679</v>
      </c>
      <c r="I16" s="71">
        <v>8.1916622713454377</v>
      </c>
      <c r="J16" s="72">
        <v>19.598717962508879</v>
      </c>
      <c r="K16" s="7"/>
      <c r="L16" s="21">
        <v>63691.429125084789</v>
      </c>
      <c r="M16" s="21">
        <f t="shared" si="0"/>
        <v>2054.3596321676473</v>
      </c>
      <c r="N16" s="21">
        <f t="shared" si="1"/>
        <v>5217.3867697202904</v>
      </c>
      <c r="O16" s="21">
        <f t="shared" si="2"/>
        <v>12482.703560516604</v>
      </c>
      <c r="P16" s="21"/>
      <c r="Q16" s="69">
        <v>48444.949505004595</v>
      </c>
      <c r="R16" s="8">
        <f t="shared" si="4"/>
        <v>4.8444949505004598</v>
      </c>
      <c r="S16" s="8">
        <f t="shared" si="5"/>
        <v>48.444949505004594</v>
      </c>
      <c r="T16" s="8">
        <f t="shared" si="3"/>
        <v>484.44949505004598</v>
      </c>
      <c r="V16" s="8">
        <f t="shared" si="6"/>
        <v>664.27119069794264</v>
      </c>
      <c r="W16" s="8">
        <f t="shared" si="7"/>
        <v>1707.286592219541</v>
      </c>
      <c r="X16" s="8">
        <f t="shared" si="8"/>
        <v>3846.3130125598191</v>
      </c>
      <c r="Z16" s="22">
        <f t="shared" si="9"/>
        <v>137118.77037446809</v>
      </c>
      <c r="AA16" s="22">
        <f t="shared" si="10"/>
        <v>35241.787011113927</v>
      </c>
      <c r="AB16" s="22">
        <f t="shared" si="11"/>
        <v>7939.5541782172286</v>
      </c>
      <c r="AC16" s="22"/>
      <c r="AD16" s="22"/>
      <c r="AE16" s="22"/>
      <c r="AF16" s="22"/>
      <c r="AG16" s="22"/>
      <c r="AH16" s="22"/>
      <c r="AI16" s="22"/>
      <c r="AJ16" s="22"/>
      <c r="AK16" s="25"/>
      <c r="AL16" s="25"/>
      <c r="AM16" s="25"/>
      <c r="AN16" s="25"/>
      <c r="AO16" s="25"/>
      <c r="AS16" s="25"/>
      <c r="BB16" s="52">
        <f t="shared" si="12"/>
        <v>52.313782926680275</v>
      </c>
      <c r="BC16" s="52">
        <f t="shared" si="13"/>
        <v>134.4550560519761</v>
      </c>
      <c r="BD16" s="52">
        <f t="shared" si="14"/>
        <v>302.91120076381065</v>
      </c>
      <c r="BE16" s="25"/>
      <c r="BF16" s="45">
        <f>BB16/'TA1'!AJ22</f>
        <v>1.5795639858248361E-2</v>
      </c>
      <c r="BG16" s="45">
        <f>BC16/'TA1'!AI22</f>
        <v>1.6541472511698126E-2</v>
      </c>
      <c r="BH16" s="45">
        <f>BD16/'TA1'!AG22</f>
        <v>1.6092109409963692E-2</v>
      </c>
    </row>
    <row r="17" spans="1:60">
      <c r="A17" s="39">
        <v>1929</v>
      </c>
      <c r="B17" s="26">
        <v>2.534228190779686E-2</v>
      </c>
      <c r="C17" s="26">
        <v>2.5517016649246216E-2</v>
      </c>
      <c r="D17" s="26">
        <v>2.3702412843704224E-2</v>
      </c>
      <c r="E17" s="5"/>
      <c r="F17" s="57">
        <v>12.697823662053718</v>
      </c>
      <c r="G17" s="10"/>
      <c r="H17" s="70">
        <v>3.0057812608517063</v>
      </c>
      <c r="I17" s="71">
        <v>7.6218608438736206</v>
      </c>
      <c r="J17" s="72">
        <v>18.417904285315917</v>
      </c>
      <c r="K17" s="7"/>
      <c r="L17" s="21">
        <v>67280</v>
      </c>
      <c r="M17" s="21">
        <f t="shared" si="0"/>
        <v>2022.289632301028</v>
      </c>
      <c r="N17" s="21">
        <f t="shared" si="1"/>
        <v>5127.9879757581721</v>
      </c>
      <c r="O17" s="21">
        <f t="shared" si="2"/>
        <v>12391.566003160549</v>
      </c>
      <c r="P17" s="21"/>
      <c r="Q17" s="69">
        <v>49084.788361927036</v>
      </c>
      <c r="R17" s="8">
        <f t="shared" si="4"/>
        <v>4.9084788361927041</v>
      </c>
      <c r="S17" s="8">
        <f t="shared" si="5"/>
        <v>49.084788361927039</v>
      </c>
      <c r="T17" s="8">
        <f t="shared" si="3"/>
        <v>490.84788361927036</v>
      </c>
      <c r="V17" s="8">
        <f t="shared" si="6"/>
        <v>650.7562752166865</v>
      </c>
      <c r="W17" s="8">
        <f t="shared" si="7"/>
        <v>1661.5223469451528</v>
      </c>
      <c r="X17" s="8">
        <f t="shared" si="8"/>
        <v>3729.4779552269979</v>
      </c>
      <c r="Z17" s="22">
        <f t="shared" si="9"/>
        <v>132577.99349532291</v>
      </c>
      <c r="AA17" s="22">
        <f t="shared" si="10"/>
        <v>33850.046060989531</v>
      </c>
      <c r="AB17" s="22">
        <f t="shared" si="11"/>
        <v>7598.0320577684188</v>
      </c>
      <c r="AC17" s="22"/>
      <c r="AD17" s="22"/>
      <c r="AE17" s="22"/>
      <c r="AF17" s="22"/>
      <c r="AG17" s="22"/>
      <c r="AH17" s="22"/>
      <c r="AI17" s="22"/>
      <c r="AJ17" s="22"/>
      <c r="AK17" s="25"/>
      <c r="AL17" s="25"/>
      <c r="AM17" s="25"/>
      <c r="AN17" s="25"/>
      <c r="AO17" s="25"/>
      <c r="AS17" s="25"/>
      <c r="BB17" s="52">
        <f t="shared" si="12"/>
        <v>51.249433960987503</v>
      </c>
      <c r="BC17" s="52">
        <f t="shared" si="13"/>
        <v>130.85095455455567</v>
      </c>
      <c r="BD17" s="52">
        <f t="shared" si="14"/>
        <v>293.71001318692123</v>
      </c>
      <c r="BE17" s="25"/>
      <c r="BF17" s="45">
        <f>BB17/'TA1'!AJ23</f>
        <v>1.3518580954448576E-2</v>
      </c>
      <c r="BG17" s="45">
        <f>BC17/'TA1'!AI23</f>
        <v>1.4764242502307038E-2</v>
      </c>
      <c r="BH17" s="45">
        <f>BD17/'TA1'!AG23</f>
        <v>1.4739218053108133E-2</v>
      </c>
    </row>
    <row r="18" spans="1:60">
      <c r="A18" s="39">
        <v>1930</v>
      </c>
      <c r="B18" s="26">
        <v>3.366384282708168E-2</v>
      </c>
      <c r="C18" s="26">
        <v>3.0839333310723305E-2</v>
      </c>
      <c r="D18" s="26">
        <v>2.6211017742753029E-2</v>
      </c>
      <c r="E18" s="5"/>
      <c r="F18" s="57">
        <v>13.027967077267114</v>
      </c>
      <c r="G18" s="10"/>
      <c r="H18" s="70">
        <v>2.3887538491116418</v>
      </c>
      <c r="I18" s="71">
        <v>6.4017230324275385</v>
      </c>
      <c r="J18" s="72">
        <v>16.422818416449541</v>
      </c>
      <c r="K18" s="7"/>
      <c r="L18" s="21">
        <v>60240</v>
      </c>
      <c r="M18" s="21">
        <f t="shared" si="0"/>
        <v>1438.9853187048532</v>
      </c>
      <c r="N18" s="21">
        <f t="shared" si="1"/>
        <v>3856.3979547343492</v>
      </c>
      <c r="O18" s="21">
        <f t="shared" si="2"/>
        <v>9893.1058140692039</v>
      </c>
      <c r="P18" s="21"/>
      <c r="Q18" s="69">
        <v>49750</v>
      </c>
      <c r="R18" s="8">
        <f t="shared" si="4"/>
        <v>4.9750000000000005</v>
      </c>
      <c r="S18" s="8">
        <f t="shared" si="5"/>
        <v>49.75</v>
      </c>
      <c r="T18" s="8">
        <f t="shared" si="3"/>
        <v>497.5</v>
      </c>
      <c r="V18" s="8">
        <f t="shared" si="6"/>
        <v>631.09785767280027</v>
      </c>
      <c r="W18" s="8">
        <f t="shared" si="7"/>
        <v>1549.3997340771086</v>
      </c>
      <c r="X18" s="8">
        <f t="shared" si="8"/>
        <v>3378.2609335819047</v>
      </c>
      <c r="Z18" s="22">
        <f t="shared" si="9"/>
        <v>126853.8407382513</v>
      </c>
      <c r="AA18" s="22">
        <f t="shared" si="10"/>
        <v>31143.713247781081</v>
      </c>
      <c r="AB18" s="22">
        <f t="shared" si="11"/>
        <v>6790.4742383555877</v>
      </c>
      <c r="AC18" s="22"/>
      <c r="AD18" s="22"/>
      <c r="AE18" s="22"/>
      <c r="AF18" s="22"/>
      <c r="AG18" s="22"/>
      <c r="AH18" s="22"/>
      <c r="AI18" s="22"/>
      <c r="AJ18" s="22"/>
      <c r="AK18" s="25"/>
      <c r="AL18" s="25"/>
      <c r="AM18" s="25"/>
      <c r="AN18" s="25"/>
      <c r="AO18" s="25"/>
      <c r="AS18" s="25"/>
      <c r="BB18" s="52">
        <f t="shared" si="12"/>
        <v>48.441775599358216</v>
      </c>
      <c r="BC18" s="52">
        <f t="shared" si="13"/>
        <v>118.92874190484424</v>
      </c>
      <c r="BD18" s="52">
        <f t="shared" si="14"/>
        <v>259.30837202350108</v>
      </c>
      <c r="BE18" s="25"/>
      <c r="BF18" s="45">
        <f>BB18/'TA1'!AJ24</f>
        <v>2.2681491445380699E-2</v>
      </c>
      <c r="BG18" s="45">
        <f>BC18/'TA1'!AI24</f>
        <v>2.0337081823937758E-2</v>
      </c>
      <c r="BH18" s="45">
        <f>BD18/'TA1'!AG24</f>
        <v>1.7262637965975689E-2</v>
      </c>
    </row>
    <row r="19" spans="1:60">
      <c r="A19" s="39">
        <v>1931</v>
      </c>
      <c r="B19" s="26">
        <v>3.2495655119419098E-2</v>
      </c>
      <c r="C19" s="26">
        <v>3.0442750081419945E-2</v>
      </c>
      <c r="D19" s="26">
        <v>2.639361284673214E-2</v>
      </c>
      <c r="E19" s="5"/>
      <c r="F19" s="57">
        <v>14.285051619810432</v>
      </c>
      <c r="G19" s="10"/>
      <c r="H19" s="70">
        <v>2.0744133398493183</v>
      </c>
      <c r="I19" s="71">
        <v>5.6751445341883793</v>
      </c>
      <c r="J19" s="72">
        <v>15.270594044223252</v>
      </c>
      <c r="K19" s="7"/>
      <c r="L19" s="21">
        <v>50560</v>
      </c>
      <c r="M19" s="21">
        <f t="shared" si="0"/>
        <v>1048.8233846278154</v>
      </c>
      <c r="N19" s="21">
        <f t="shared" si="1"/>
        <v>2869.3530764856446</v>
      </c>
      <c r="O19" s="21">
        <f t="shared" si="2"/>
        <v>7720.8123487592757</v>
      </c>
      <c r="P19" s="21"/>
      <c r="Q19" s="69">
        <v>50461.665723737082</v>
      </c>
      <c r="R19" s="8">
        <f t="shared" si="4"/>
        <v>5.0461665723737088</v>
      </c>
      <c r="S19" s="8">
        <f t="shared" si="5"/>
        <v>50.461665723737084</v>
      </c>
      <c r="T19" s="8">
        <f t="shared" si="3"/>
        <v>504.61665723737082</v>
      </c>
      <c r="V19" s="8">
        <f t="shared" si="6"/>
        <v>486.86602900111353</v>
      </c>
      <c r="W19" s="8">
        <f t="shared" si="7"/>
        <v>1247.8135240830716</v>
      </c>
      <c r="X19" s="8">
        <f t="shared" si="8"/>
        <v>2911.0097046463716</v>
      </c>
      <c r="Z19" s="22">
        <f t="shared" si="9"/>
        <v>96482.353885534263</v>
      </c>
      <c r="AA19" s="22">
        <f t="shared" si="10"/>
        <v>24727.949547176802</v>
      </c>
      <c r="AB19" s="22">
        <f t="shared" si="11"/>
        <v>5768.7546831753471</v>
      </c>
      <c r="AC19" s="22"/>
      <c r="AD19" s="22"/>
      <c r="AE19" s="22"/>
      <c r="AF19" s="22"/>
      <c r="AG19" s="22"/>
      <c r="AH19" s="22"/>
      <c r="AI19" s="22"/>
      <c r="AJ19" s="22"/>
      <c r="AK19" s="25"/>
      <c r="AL19" s="25"/>
      <c r="AM19" s="25"/>
      <c r="AN19" s="25"/>
      <c r="AO19" s="25"/>
      <c r="AS19" s="25"/>
      <c r="BB19" s="52">
        <f t="shared" si="12"/>
        <v>34.082202988047335</v>
      </c>
      <c r="BC19" s="52">
        <f t="shared" si="13"/>
        <v>87.35099860280593</v>
      </c>
      <c r="BD19" s="52">
        <f t="shared" si="14"/>
        <v>203.78013199542096</v>
      </c>
      <c r="BE19" s="25"/>
      <c r="BF19" s="45">
        <f>BB19/'TA1'!AJ25</f>
        <v>3.2636776296390377E-2</v>
      </c>
      <c r="BG19" s="45">
        <f>BC19/'TA1'!AI25</f>
        <v>2.5880256677141306E-2</v>
      </c>
      <c r="BH19" s="45">
        <f>BD19/'TA1'!AG25</f>
        <v>2.0044339134137848E-2</v>
      </c>
    </row>
    <row r="20" spans="1:60">
      <c r="A20" s="39">
        <v>1932</v>
      </c>
      <c r="B20" s="26">
        <v>3.769032284617424E-2</v>
      </c>
      <c r="C20" s="26">
        <v>3.3135499805212021E-2</v>
      </c>
      <c r="D20" s="26">
        <v>2.4839481338858604E-2</v>
      </c>
      <c r="E20" s="5"/>
      <c r="F20" s="57">
        <v>15.926610118908455</v>
      </c>
      <c r="G20" s="10"/>
      <c r="H20" s="70">
        <v>1.9264855493777389</v>
      </c>
      <c r="I20" s="71">
        <v>5.8962244962743897</v>
      </c>
      <c r="J20" s="72">
        <v>15.478467631887071</v>
      </c>
      <c r="K20" s="7"/>
      <c r="L20" s="21">
        <v>38640</v>
      </c>
      <c r="M20" s="21">
        <f t="shared" si="0"/>
        <v>744.39401627955829</v>
      </c>
      <c r="N20" s="21">
        <f t="shared" si="1"/>
        <v>2278.301145360424</v>
      </c>
      <c r="O20" s="21">
        <f t="shared" si="2"/>
        <v>5980.8798929611639</v>
      </c>
      <c r="P20" s="21"/>
      <c r="Q20" s="69">
        <v>51117.350453271472</v>
      </c>
      <c r="R20" s="8">
        <f t="shared" si="4"/>
        <v>5.1117350453271477</v>
      </c>
      <c r="S20" s="8">
        <f t="shared" si="5"/>
        <v>51.11735045327147</v>
      </c>
      <c r="T20" s="8">
        <f t="shared" si="3"/>
        <v>511.17350453271473</v>
      </c>
      <c r="V20" s="8">
        <f t="shared" si="6"/>
        <v>446.84415318544865</v>
      </c>
      <c r="W20" s="8">
        <f t="shared" si="7"/>
        <v>1202.3419581346404</v>
      </c>
      <c r="X20" s="8">
        <f t="shared" si="8"/>
        <v>2366.0883276837817</v>
      </c>
      <c r="Z20" s="22">
        <f t="shared" si="9"/>
        <v>87415.358821057787</v>
      </c>
      <c r="AA20" s="22">
        <f t="shared" si="10"/>
        <v>23521.210459328326</v>
      </c>
      <c r="AB20" s="22">
        <f t="shared" si="11"/>
        <v>4628.7382008320701</v>
      </c>
      <c r="AC20" s="22"/>
      <c r="AD20" s="22"/>
      <c r="AE20" s="22"/>
      <c r="AF20" s="22"/>
      <c r="AG20" s="22"/>
      <c r="AH20" s="22"/>
      <c r="AI20" s="22"/>
      <c r="AJ20" s="22"/>
      <c r="AK20" s="25"/>
      <c r="AL20" s="25"/>
      <c r="AM20" s="25"/>
      <c r="AN20" s="25"/>
      <c r="AO20" s="25"/>
      <c r="AS20" s="25"/>
      <c r="BB20" s="52">
        <f t="shared" si="12"/>
        <v>28.056450798336837</v>
      </c>
      <c r="BC20" s="52">
        <f t="shared" si="13"/>
        <v>75.492647158304649</v>
      </c>
      <c r="BD20" s="52">
        <f t="shared" si="14"/>
        <v>148.56195449116348</v>
      </c>
      <c r="BE20" s="25"/>
      <c r="BF20" s="45">
        <f>BB20/'TA1'!AJ26</f>
        <v>5.4331278781008734E-2</v>
      </c>
      <c r="BG20" s="45">
        <f>BC20/'TA1'!AI26</f>
        <v>3.4226052242014852E-2</v>
      </c>
      <c r="BH20" s="45">
        <f>BD20/'TA1'!AG26</f>
        <v>2.0846117767512405E-2</v>
      </c>
    </row>
    <row r="21" spans="1:60">
      <c r="A21" s="39">
        <v>1933</v>
      </c>
      <c r="B21" s="26">
        <v>2.6332790032029152E-2</v>
      </c>
      <c r="C21" s="26">
        <v>2.5761781260371208E-2</v>
      </c>
      <c r="D21" s="26">
        <v>2.1765690296888351E-2</v>
      </c>
      <c r="E21" s="5"/>
      <c r="F21" s="57">
        <v>16.788617367612261</v>
      </c>
      <c r="G21" s="10"/>
      <c r="H21" s="70">
        <v>2.0446143537247261</v>
      </c>
      <c r="I21" s="71">
        <v>6.0544782496875325</v>
      </c>
      <c r="J21" s="72">
        <v>15.770913177787016</v>
      </c>
      <c r="K21" s="7"/>
      <c r="L21" s="21">
        <v>36160</v>
      </c>
      <c r="M21" s="21">
        <f t="shared" si="0"/>
        <v>739.33255030686098</v>
      </c>
      <c r="N21" s="21">
        <f t="shared" si="1"/>
        <v>2189.299335087012</v>
      </c>
      <c r="O21" s="21">
        <f t="shared" si="2"/>
        <v>5702.7622050877844</v>
      </c>
      <c r="P21" s="21"/>
      <c r="Q21" s="69">
        <v>51757.038466730541</v>
      </c>
      <c r="R21" s="8">
        <f t="shared" si="4"/>
        <v>5.1757038466730547</v>
      </c>
      <c r="S21" s="8">
        <f t="shared" si="5"/>
        <v>51.757038466730542</v>
      </c>
      <c r="T21" s="8">
        <f t="shared" ref="T21:T84" si="15">$Q21*0.01</f>
        <v>517.57038466730546</v>
      </c>
      <c r="V21" s="8">
        <f t="shared" si="6"/>
        <v>326.85236709825563</v>
      </c>
      <c r="W21" s="8">
        <f t="shared" si="7"/>
        <v>946.8822264920201</v>
      </c>
      <c r="X21" s="8">
        <f t="shared" si="8"/>
        <v>2083.8796764868889</v>
      </c>
      <c r="Z21" s="22">
        <f t="shared" si="9"/>
        <v>63151.288555344312</v>
      </c>
      <c r="AA21" s="22">
        <f t="shared" si="10"/>
        <v>18294.752840247544</v>
      </c>
      <c r="AB21" s="22">
        <f t="shared" si="11"/>
        <v>4026.2730214488761</v>
      </c>
      <c r="AC21" s="22"/>
      <c r="AD21" s="22"/>
      <c r="AE21" s="22"/>
      <c r="AF21" s="22"/>
      <c r="AG21" s="22"/>
      <c r="AH21" s="22"/>
      <c r="AI21" s="22"/>
      <c r="AJ21" s="22"/>
      <c r="AK21" s="25"/>
      <c r="AL21" s="25"/>
      <c r="AM21" s="25"/>
      <c r="AN21" s="25"/>
      <c r="AO21" s="25"/>
      <c r="AS21" s="25"/>
      <c r="BB21" s="52">
        <f t="shared" si="12"/>
        <v>19.4686888110752</v>
      </c>
      <c r="BC21" s="52">
        <f t="shared" si="13"/>
        <v>56.400250583987734</v>
      </c>
      <c r="BD21" s="52">
        <f t="shared" si="14"/>
        <v>124.12455599274081</v>
      </c>
      <c r="BE21" s="25"/>
      <c r="BF21" s="45">
        <f>BB21/'TA1'!AJ27</f>
        <v>3.0634123253950134E-2</v>
      </c>
      <c r="BG21" s="45">
        <f>BC21/'TA1'!AI27</f>
        <v>2.3363957509501439E-2</v>
      </c>
      <c r="BH21" s="45">
        <f>BD21/'TA1'!AG27</f>
        <v>1.6734393421625984E-2</v>
      </c>
    </row>
    <row r="22" spans="1:60">
      <c r="A22" s="39">
        <v>1934</v>
      </c>
      <c r="B22" s="26">
        <v>3.9727747440338135E-2</v>
      </c>
      <c r="C22" s="26">
        <v>3.0519535765051842E-2</v>
      </c>
      <c r="D22" s="26">
        <v>2.1317059174180031E-2</v>
      </c>
      <c r="E22" s="5"/>
      <c r="F22" s="57">
        <v>16.244347976642288</v>
      </c>
      <c r="G22" s="10"/>
      <c r="H22" s="70">
        <v>1.9218939824356394</v>
      </c>
      <c r="I22" s="71">
        <v>5.8236806287307799</v>
      </c>
      <c r="J22" s="72">
        <v>15.868185076417598</v>
      </c>
      <c r="K22" s="7"/>
      <c r="L22" s="21">
        <v>41600</v>
      </c>
      <c r="M22" s="21">
        <f t="shared" si="0"/>
        <v>799.50789669322592</v>
      </c>
      <c r="N22" s="21">
        <f t="shared" si="1"/>
        <v>2422.6511415520044</v>
      </c>
      <c r="O22" s="21">
        <f t="shared" si="2"/>
        <v>6601.1649917897212</v>
      </c>
      <c r="P22" s="21"/>
      <c r="Q22" s="69">
        <v>52429.938154087497</v>
      </c>
      <c r="R22" s="8">
        <f t="shared" si="4"/>
        <v>5.2429938154087496</v>
      </c>
      <c r="S22" s="8">
        <f t="shared" si="5"/>
        <v>52.429938154087495</v>
      </c>
      <c r="T22" s="8">
        <f t="shared" si="15"/>
        <v>524.29938154087495</v>
      </c>
      <c r="V22" s="8">
        <f t="shared" si="6"/>
        <v>515.96350346399913</v>
      </c>
      <c r="W22" s="8">
        <f t="shared" si="7"/>
        <v>1201.0776572471391</v>
      </c>
      <c r="X22" s="8">
        <f t="shared" si="8"/>
        <v>2285.862813991725</v>
      </c>
      <c r="Z22" s="22">
        <f t="shared" si="9"/>
        <v>98410.091949302456</v>
      </c>
      <c r="AA22" s="22">
        <f t="shared" si="10"/>
        <v>22908.2409694489</v>
      </c>
      <c r="AB22" s="22">
        <f t="shared" si="11"/>
        <v>4359.8426671298994</v>
      </c>
      <c r="AC22" s="22"/>
      <c r="AD22" s="22"/>
      <c r="AE22" s="22"/>
      <c r="AF22" s="22"/>
      <c r="AG22" s="22"/>
      <c r="AH22" s="22"/>
      <c r="AI22" s="22"/>
      <c r="AJ22" s="22"/>
      <c r="AK22" s="25"/>
      <c r="AL22" s="25"/>
      <c r="AM22" s="25"/>
      <c r="AN22" s="25"/>
      <c r="AO22" s="25"/>
      <c r="AS22" s="25"/>
      <c r="BB22" s="52">
        <f t="shared" si="12"/>
        <v>31.762647796384435</v>
      </c>
      <c r="BC22" s="52">
        <f t="shared" si="13"/>
        <v>73.93818816084007</v>
      </c>
      <c r="BD22" s="52">
        <f t="shared" si="14"/>
        <v>140.71742474850711</v>
      </c>
      <c r="BE22" s="25"/>
      <c r="BF22" s="45">
        <f>BB22/'TA1'!AJ28</f>
        <v>3.2285858461641233E-2</v>
      </c>
      <c r="BG22" s="45">
        <f>BC22/'TA1'!AI28</f>
        <v>2.1131191804336605E-2</v>
      </c>
      <c r="BH22" s="45">
        <f>BD22/'TA1'!AG28</f>
        <v>1.4085342995467926E-2</v>
      </c>
    </row>
    <row r="23" spans="1:60">
      <c r="A23" s="39">
        <v>1935</v>
      </c>
      <c r="B23" s="26">
        <v>4.1064772754907608E-2</v>
      </c>
      <c r="C23" s="26">
        <v>3.1065098941326141E-2</v>
      </c>
      <c r="D23" s="26">
        <v>2.3163145408034325E-2</v>
      </c>
      <c r="E23" s="5"/>
      <c r="F23" s="57">
        <v>15.849108366505007</v>
      </c>
      <c r="G23" s="10"/>
      <c r="H23" s="70">
        <v>1.9463370851066035</v>
      </c>
      <c r="I23" s="71">
        <v>5.7968718562550565</v>
      </c>
      <c r="J23" s="72">
        <v>15.628311990462226</v>
      </c>
      <c r="K23" s="7"/>
      <c r="L23" s="21">
        <v>46800</v>
      </c>
      <c r="M23" s="21">
        <f t="shared" si="0"/>
        <v>910.8857558298904</v>
      </c>
      <c r="N23" s="21">
        <f t="shared" si="1"/>
        <v>2712.9360287273662</v>
      </c>
      <c r="O23" s="21">
        <f t="shared" si="2"/>
        <v>7314.050011536322</v>
      </c>
      <c r="P23" s="21"/>
      <c r="Q23" s="69">
        <v>53147.097891511097</v>
      </c>
      <c r="R23" s="8">
        <f t="shared" si="4"/>
        <v>5.3147097891511104</v>
      </c>
      <c r="S23" s="8">
        <f t="shared" si="5"/>
        <v>53.147097891511102</v>
      </c>
      <c r="T23" s="8">
        <f t="shared" si="15"/>
        <v>531.470978915111</v>
      </c>
      <c r="V23" s="8">
        <f t="shared" si="6"/>
        <v>592.84091578291827</v>
      </c>
      <c r="W23" s="8">
        <f t="shared" si="7"/>
        <v>1335.7252297850218</v>
      </c>
      <c r="X23" s="8">
        <f t="shared" si="8"/>
        <v>2685.0989450904344</v>
      </c>
      <c r="Z23" s="22">
        <f t="shared" si="9"/>
        <v>111547.18494565428</v>
      </c>
      <c r="AA23" s="22">
        <f t="shared" si="10"/>
        <v>25132.608981051624</v>
      </c>
      <c r="AB23" s="22">
        <f t="shared" si="11"/>
        <v>5052.2023809682196</v>
      </c>
      <c r="AC23" s="22"/>
      <c r="AD23" s="22"/>
      <c r="AE23" s="22"/>
      <c r="AF23" s="22"/>
      <c r="AG23" s="22"/>
      <c r="AH23" s="22"/>
      <c r="AI23" s="22"/>
      <c r="AJ23" s="22"/>
      <c r="AK23" s="25"/>
      <c r="AL23" s="25"/>
      <c r="AM23" s="25"/>
      <c r="AN23" s="25"/>
      <c r="AO23" s="25"/>
      <c r="AS23" s="25"/>
      <c r="BB23" s="52">
        <f t="shared" si="12"/>
        <v>37.40531656883671</v>
      </c>
      <c r="BC23" s="52">
        <f t="shared" si="13"/>
        <v>84.277626153904052</v>
      </c>
      <c r="BD23" s="52">
        <f t="shared" si="14"/>
        <v>169.41640393885095</v>
      </c>
      <c r="BE23" s="25"/>
      <c r="BF23" s="45">
        <f>BB23/'TA1'!AJ29</f>
        <v>2.9730105670118832E-2</v>
      </c>
      <c r="BG23" s="45">
        <f>BC23/'TA1'!AI29</f>
        <v>2.0138613638516323E-2</v>
      </c>
      <c r="BH23" s="45">
        <f>BD23/'TA1'!AG29</f>
        <v>1.4707293285689109E-2</v>
      </c>
    </row>
    <row r="24" spans="1:60">
      <c r="A24" s="39">
        <v>1936</v>
      </c>
      <c r="B24" s="26">
        <v>4.5951876789331436E-2</v>
      </c>
      <c r="C24" s="26">
        <v>3.2578632235527039E-2</v>
      </c>
      <c r="D24" s="26">
        <v>2.5376204401254654E-2</v>
      </c>
      <c r="E24" s="5"/>
      <c r="F24" s="57">
        <v>15.696345876225443</v>
      </c>
      <c r="G24" s="10"/>
      <c r="H24" s="70">
        <v>2.2341259705213141</v>
      </c>
      <c r="I24" s="71">
        <v>6.6874494164752774</v>
      </c>
      <c r="J24" s="72">
        <v>17.637342175901782</v>
      </c>
      <c r="K24" s="7"/>
      <c r="L24" s="21">
        <v>52560</v>
      </c>
      <c r="M24" s="21">
        <f t="shared" si="0"/>
        <v>1174.2566101060029</v>
      </c>
      <c r="N24" s="21">
        <f t="shared" si="1"/>
        <v>3514.9234132994061</v>
      </c>
      <c r="O24" s="21">
        <f t="shared" si="2"/>
        <v>9270.1870476539771</v>
      </c>
      <c r="P24" s="21"/>
      <c r="Q24" s="69">
        <v>53844.313041528949</v>
      </c>
      <c r="R24" s="8">
        <f t="shared" si="4"/>
        <v>5.3844313041528951</v>
      </c>
      <c r="S24" s="8">
        <f t="shared" si="5"/>
        <v>53.844313041528949</v>
      </c>
      <c r="T24" s="8">
        <f t="shared" si="15"/>
        <v>538.44313041528949</v>
      </c>
      <c r="V24" s="8">
        <f t="shared" si="6"/>
        <v>846.96375860342869</v>
      </c>
      <c r="W24" s="8">
        <f t="shared" si="7"/>
        <v>1797.410497502387</v>
      </c>
      <c r="X24" s="8">
        <f t="shared" si="8"/>
        <v>3692.4423293637519</v>
      </c>
      <c r="Z24" s="22">
        <f t="shared" si="9"/>
        <v>157298.64692491925</v>
      </c>
      <c r="AA24" s="22">
        <f t="shared" si="10"/>
        <v>33381.621864431319</v>
      </c>
      <c r="AB24" s="22">
        <f t="shared" si="11"/>
        <v>6857.6273347862225</v>
      </c>
      <c r="AC24" s="22"/>
      <c r="AD24" s="22"/>
      <c r="AE24" s="22"/>
      <c r="AF24" s="22"/>
      <c r="AG24" s="22"/>
      <c r="AH24" s="22"/>
      <c r="AI24" s="22"/>
      <c r="AJ24" s="22"/>
      <c r="AK24" s="25"/>
      <c r="AL24" s="25"/>
      <c r="AM24" s="25"/>
      <c r="AN24" s="25"/>
      <c r="AO24" s="25"/>
      <c r="AS24" s="25"/>
      <c r="BB24" s="52">
        <f t="shared" si="12"/>
        <v>53.959295066649048</v>
      </c>
      <c r="BC24" s="52">
        <f t="shared" si="13"/>
        <v>114.51139721792475</v>
      </c>
      <c r="BD24" s="52">
        <f t="shared" si="14"/>
        <v>235.24216135913073</v>
      </c>
      <c r="BE24" s="25"/>
      <c r="BF24" s="45">
        <f>BB24/'TA1'!AJ30</f>
        <v>3.2579922335056903E-2</v>
      </c>
      <c r="BG24" s="45">
        <f>BC24/'TA1'!AI30</f>
        <v>2.1180560142644737E-2</v>
      </c>
      <c r="BH24" s="45">
        <f>BD24/'TA1'!AG30</f>
        <v>1.6265890379109658E-2</v>
      </c>
    </row>
    <row r="25" spans="1:60">
      <c r="A25" s="39">
        <v>1937</v>
      </c>
      <c r="B25" s="26">
        <v>4.7161825001239777E-2</v>
      </c>
      <c r="C25" s="26">
        <v>3.3149532973766327E-2</v>
      </c>
      <c r="D25" s="26">
        <v>2.5741374120116234E-2</v>
      </c>
      <c r="E25" s="5"/>
      <c r="F25" s="57">
        <v>15.148798927054781</v>
      </c>
      <c r="G25" s="10"/>
      <c r="H25" s="70">
        <v>2.0155380578081696</v>
      </c>
      <c r="I25" s="71">
        <v>6.1611817866289851</v>
      </c>
      <c r="J25" s="72">
        <v>16.450434286791296</v>
      </c>
      <c r="K25" s="7"/>
      <c r="L25" s="21">
        <v>57840</v>
      </c>
      <c r="M25" s="21">
        <f t="shared" si="0"/>
        <v>1165.7872126362454</v>
      </c>
      <c r="N25" s="21">
        <f t="shared" si="1"/>
        <v>3563.6275453862049</v>
      </c>
      <c r="O25" s="21">
        <f t="shared" si="2"/>
        <v>9514.9311914800855</v>
      </c>
      <c r="P25" s="21"/>
      <c r="Q25" s="69">
        <v>54539.104556864208</v>
      </c>
      <c r="R25" s="8">
        <f t="shared" si="4"/>
        <v>5.4539104556864206</v>
      </c>
      <c r="S25" s="8">
        <f t="shared" si="5"/>
        <v>54.53910455686421</v>
      </c>
      <c r="T25" s="8">
        <f t="shared" si="15"/>
        <v>545.39104556864208</v>
      </c>
      <c r="V25" s="8">
        <f t="shared" si="6"/>
        <v>832.89084976791924</v>
      </c>
      <c r="W25" s="8">
        <f t="shared" si="7"/>
        <v>1789.566834796947</v>
      </c>
      <c r="X25" s="8">
        <f t="shared" si="8"/>
        <v>3710.3559877569219</v>
      </c>
      <c r="Z25" s="22">
        <f t="shared" si="9"/>
        <v>152714.43426422979</v>
      </c>
      <c r="AA25" s="22">
        <f t="shared" si="10"/>
        <v>32812.545224886984</v>
      </c>
      <c r="AB25" s="22">
        <f t="shared" si="11"/>
        <v>6803.1113050057256</v>
      </c>
      <c r="AC25" s="22"/>
      <c r="AD25" s="22"/>
      <c r="AE25" s="22"/>
      <c r="AF25" s="22"/>
      <c r="AG25" s="22"/>
      <c r="AH25" s="22"/>
      <c r="AI25" s="22"/>
      <c r="AJ25" s="22"/>
      <c r="AK25" s="25"/>
      <c r="AL25" s="25"/>
      <c r="AM25" s="25"/>
      <c r="AN25" s="25"/>
      <c r="AO25" s="25"/>
      <c r="AS25" s="25"/>
      <c r="BB25" s="52">
        <f t="shared" si="12"/>
        <v>54.980652511033711</v>
      </c>
      <c r="BC25" s="52">
        <f t="shared" si="13"/>
        <v>118.13258882200196</v>
      </c>
      <c r="BD25" s="52">
        <f t="shared" si="14"/>
        <v>244.92740352705221</v>
      </c>
      <c r="BE25" s="25"/>
      <c r="BF25" s="45">
        <f>BB25/'TA1'!AJ31</f>
        <v>3.0124824241949309E-2</v>
      </c>
      <c r="BG25" s="45">
        <f>BC25/'TA1'!AI31</f>
        <v>2.0113623438206964E-2</v>
      </c>
      <c r="BH25" s="45">
        <f>BD25/'TA1'!AG31</f>
        <v>1.5375014118470387E-2</v>
      </c>
    </row>
    <row r="26" spans="1:60">
      <c r="A26" s="39">
        <v>1938</v>
      </c>
      <c r="B26" s="26">
        <v>3.8555514067411423E-2</v>
      </c>
      <c r="C26" s="26">
        <v>3.0465288087725639E-2</v>
      </c>
      <c r="D26" s="26">
        <v>2.5505455210804939E-2</v>
      </c>
      <c r="E26" s="5"/>
      <c r="F26" s="57">
        <v>15.435979949368622</v>
      </c>
      <c r="G26" s="10"/>
      <c r="H26" s="70">
        <v>1.6664630261522455</v>
      </c>
      <c r="I26" s="71">
        <v>5.1557203044317461</v>
      </c>
      <c r="J26" s="72">
        <v>14.72938302542493</v>
      </c>
      <c r="K26" s="7"/>
      <c r="L26" s="21">
        <v>52960</v>
      </c>
      <c r="M26" s="21">
        <f t="shared" si="0"/>
        <v>882.55881865022923</v>
      </c>
      <c r="N26" s="21">
        <f t="shared" si="1"/>
        <v>2730.4694732270527</v>
      </c>
      <c r="O26" s="21">
        <f t="shared" si="2"/>
        <v>7800.6812502650428</v>
      </c>
      <c r="P26" s="21"/>
      <c r="Q26" s="69">
        <v>55342.212127616192</v>
      </c>
      <c r="R26" s="8">
        <f t="shared" si="4"/>
        <v>5.5342212127616195</v>
      </c>
      <c r="S26" s="8">
        <f t="shared" si="5"/>
        <v>55.342212127616193</v>
      </c>
      <c r="T26" s="8">
        <f t="shared" si="15"/>
        <v>553.42212127616199</v>
      </c>
      <c r="V26" s="8">
        <f t="shared" si="6"/>
        <v>525.24794584500034</v>
      </c>
      <c r="W26" s="8">
        <f t="shared" si="7"/>
        <v>1284.0348779013482</v>
      </c>
      <c r="X26" s="8">
        <f t="shared" si="8"/>
        <v>3071.1414322055607</v>
      </c>
      <c r="Z26" s="22">
        <f t="shared" si="9"/>
        <v>94909.098435351043</v>
      </c>
      <c r="AA26" s="22">
        <f t="shared" si="10"/>
        <v>23201.726648375243</v>
      </c>
      <c r="AB26" s="22">
        <f t="shared" si="11"/>
        <v>5549.3651484759439</v>
      </c>
      <c r="AC26" s="22"/>
      <c r="AD26" s="22"/>
      <c r="AE26" s="22"/>
      <c r="AF26" s="22"/>
      <c r="AG26" s="22"/>
      <c r="AH26" s="22"/>
      <c r="AI26" s="22"/>
      <c r="AJ26" s="22"/>
      <c r="AK26" s="25"/>
      <c r="AL26" s="25"/>
      <c r="AM26" s="25"/>
      <c r="AN26" s="25"/>
      <c r="AO26" s="25"/>
      <c r="AS26" s="25"/>
      <c r="BB26" s="52">
        <f t="shared" si="12"/>
        <v>34.02750894778692</v>
      </c>
      <c r="BC26" s="52">
        <f t="shared" si="13"/>
        <v>83.184539116602636</v>
      </c>
      <c r="BD26" s="52">
        <f t="shared" si="14"/>
        <v>198.95992624240094</v>
      </c>
      <c r="BE26" s="25"/>
      <c r="BF26" s="45">
        <f>BB26/'TA1'!AJ32</f>
        <v>2.26947958266643E-2</v>
      </c>
      <c r="BG26" s="45">
        <f>BC26/'TA1'!AI32</f>
        <v>1.7979046877553216E-2</v>
      </c>
      <c r="BH26" s="45">
        <f>BD26/'TA1'!AG32</f>
        <v>1.5018479875540747E-2</v>
      </c>
    </row>
    <row r="27" spans="1:60">
      <c r="A27" s="39">
        <v>1939</v>
      </c>
      <c r="B27" s="26">
        <v>5.0459377467632294E-2</v>
      </c>
      <c r="C27" s="26">
        <v>3.5564031451940536E-2</v>
      </c>
      <c r="D27" s="26">
        <v>2.7605602517724037E-2</v>
      </c>
      <c r="E27" s="5"/>
      <c r="F27" s="57">
        <v>15.658614275561437</v>
      </c>
      <c r="G27" s="10"/>
      <c r="H27" s="70">
        <v>1.7412602984471626</v>
      </c>
      <c r="I27" s="71">
        <v>5.4509649925496273</v>
      </c>
      <c r="J27" s="72">
        <v>15.393035953166024</v>
      </c>
      <c r="K27" s="7"/>
      <c r="L27" s="21">
        <v>56480</v>
      </c>
      <c r="M27" s="21">
        <f t="shared" si="0"/>
        <v>983.46381656295739</v>
      </c>
      <c r="N27" s="21">
        <f t="shared" si="1"/>
        <v>3078.7050277920293</v>
      </c>
      <c r="O27" s="21">
        <f t="shared" si="2"/>
        <v>8693.9867063481706</v>
      </c>
      <c r="P27" s="21"/>
      <c r="Q27" s="69">
        <v>56181.361740206303</v>
      </c>
      <c r="R27" s="8">
        <f t="shared" si="4"/>
        <v>5.6181361740206306</v>
      </c>
      <c r="S27" s="8">
        <f t="shared" si="5"/>
        <v>56.181361740206306</v>
      </c>
      <c r="T27" s="8">
        <f t="shared" si="15"/>
        <v>561.81361740206307</v>
      </c>
      <c r="V27" s="8">
        <f t="shared" si="6"/>
        <v>777.05829413340768</v>
      </c>
      <c r="W27" s="8">
        <f t="shared" si="7"/>
        <v>1714.4798792252132</v>
      </c>
      <c r="X27" s="8">
        <f t="shared" si="8"/>
        <v>3758.1103512478944</v>
      </c>
      <c r="Z27" s="22">
        <f t="shared" si="9"/>
        <v>138312.47055325544</v>
      </c>
      <c r="AA27" s="22">
        <f t="shared" si="10"/>
        <v>30516.880084774486</v>
      </c>
      <c r="AB27" s="22">
        <f t="shared" si="11"/>
        <v>6689.2475277230506</v>
      </c>
      <c r="AC27" s="22"/>
      <c r="AD27" s="22"/>
      <c r="AE27" s="22"/>
      <c r="AF27" s="22"/>
      <c r="AG27" s="22"/>
      <c r="AH27" s="22"/>
      <c r="AI27" s="22"/>
      <c r="AJ27" s="22"/>
      <c r="AK27" s="25"/>
      <c r="AL27" s="25"/>
      <c r="AM27" s="25"/>
      <c r="AN27" s="25"/>
      <c r="AO27" s="25"/>
      <c r="AS27" s="25"/>
      <c r="BB27" s="52">
        <f t="shared" si="12"/>
        <v>49.624971945708545</v>
      </c>
      <c r="BC27" s="52">
        <f t="shared" si="13"/>
        <v>109.49116243964319</v>
      </c>
      <c r="BD27" s="52">
        <f t="shared" si="14"/>
        <v>240.00274130982436</v>
      </c>
      <c r="BE27" s="25"/>
      <c r="BF27" s="45">
        <f>BB27/'TA1'!AJ33</f>
        <v>2.9913629509930095E-2</v>
      </c>
      <c r="BG27" s="45">
        <f>BC27/'TA1'!AI33</f>
        <v>2.0265516605204585E-2</v>
      </c>
      <c r="BH27" s="45">
        <f>BD27/'TA1'!AG33</f>
        <v>1.5749477181827693E-2</v>
      </c>
    </row>
    <row r="28" spans="1:60">
      <c r="A28" s="39">
        <v>1940</v>
      </c>
      <c r="B28" s="26">
        <v>5.1153421401977539E-2</v>
      </c>
      <c r="C28" s="26">
        <v>3.6099828779697418E-2</v>
      </c>
      <c r="D28" s="26">
        <v>2.8084896504878998E-2</v>
      </c>
      <c r="E28" s="5"/>
      <c r="F28" s="57">
        <v>15.509484615794184</v>
      </c>
      <c r="G28" s="10"/>
      <c r="H28" s="70">
        <v>1.7740378459074349</v>
      </c>
      <c r="I28" s="71">
        <v>5.5731962080911872</v>
      </c>
      <c r="J28" s="72">
        <v>15.733988074633878</v>
      </c>
      <c r="K28" s="7"/>
      <c r="L28" s="21">
        <v>60720</v>
      </c>
      <c r="M28" s="21">
        <f t="shared" si="0"/>
        <v>1077.1957800349944</v>
      </c>
      <c r="N28" s="21">
        <f t="shared" si="1"/>
        <v>3384.0447375529689</v>
      </c>
      <c r="O28" s="21">
        <f t="shared" si="2"/>
        <v>9553.6775589176905</v>
      </c>
      <c r="P28" s="21"/>
      <c r="Q28" s="69">
        <v>57115</v>
      </c>
      <c r="R28" s="8">
        <f t="shared" si="4"/>
        <v>5.7115</v>
      </c>
      <c r="S28" s="8">
        <f t="shared" si="5"/>
        <v>57.115000000000002</v>
      </c>
      <c r="T28" s="8">
        <f t="shared" si="15"/>
        <v>571.15</v>
      </c>
      <c r="V28" s="8">
        <f t="shared" si="6"/>
        <v>854.60749353021208</v>
      </c>
      <c r="W28" s="8">
        <f t="shared" si="7"/>
        <v>1894.6919251825673</v>
      </c>
      <c r="X28" s="8">
        <f t="shared" si="8"/>
        <v>4161.4125606230109</v>
      </c>
      <c r="Z28" s="22">
        <f t="shared" si="9"/>
        <v>149629.25562990669</v>
      </c>
      <c r="AA28" s="22">
        <f t="shared" si="10"/>
        <v>33173.28066501912</v>
      </c>
      <c r="AB28" s="22">
        <f t="shared" si="11"/>
        <v>7286.0239177501735</v>
      </c>
      <c r="AC28" s="22"/>
      <c r="AD28" s="22"/>
      <c r="AE28" s="22"/>
      <c r="AF28" s="22"/>
      <c r="AG28" s="22"/>
      <c r="AH28" s="22"/>
      <c r="AI28" s="22"/>
      <c r="AJ28" s="22"/>
      <c r="AK28" s="25"/>
      <c r="AL28" s="25"/>
      <c r="AM28" s="25"/>
      <c r="AN28" s="25"/>
      <c r="AO28" s="25"/>
      <c r="AS28" s="25"/>
      <c r="BB28" s="52">
        <f t="shared" si="12"/>
        <v>55.102249668561974</v>
      </c>
      <c r="BC28" s="52">
        <f t="shared" si="13"/>
        <v>122.16343560849826</v>
      </c>
      <c r="BD28" s="52">
        <f t="shared" si="14"/>
        <v>268.31404548318835</v>
      </c>
      <c r="BE28" s="25"/>
      <c r="BF28" s="45">
        <f>BB28/'TA1'!AJ34</f>
        <v>2.4988186091767374E-2</v>
      </c>
      <c r="BG28" s="45">
        <f>BC28/'TA1'!AI34</f>
        <v>1.8492948688934682E-2</v>
      </c>
      <c r="BH28" s="45">
        <f>BD28/'TA1'!AG34</f>
        <v>1.5181862793113777E-2</v>
      </c>
    </row>
    <row r="29" spans="1:60">
      <c r="A29" s="39">
        <v>1941</v>
      </c>
      <c r="B29" s="26">
        <v>4.5914281159639359E-2</v>
      </c>
      <c r="C29" s="26">
        <v>3.2276339828968048E-2</v>
      </c>
      <c r="D29" s="26">
        <v>2.5905033573508263E-2</v>
      </c>
      <c r="E29" s="5"/>
      <c r="F29" s="57">
        <v>14.770937729327793</v>
      </c>
      <c r="G29" s="10"/>
      <c r="H29" s="70">
        <v>1.6290480751623115</v>
      </c>
      <c r="I29" s="71">
        <v>5.2893892210692295</v>
      </c>
      <c r="J29" s="72">
        <v>15.007978377996723</v>
      </c>
      <c r="K29" s="7"/>
      <c r="L29" s="21">
        <v>74880</v>
      </c>
      <c r="M29" s="21">
        <f t="shared" si="0"/>
        <v>1219.8311986815388</v>
      </c>
      <c r="N29" s="21">
        <f t="shared" si="1"/>
        <v>3960.694648736639</v>
      </c>
      <c r="O29" s="21">
        <f t="shared" si="2"/>
        <v>11237.974209443946</v>
      </c>
      <c r="P29" s="21"/>
      <c r="Q29" s="69">
        <v>57392.484407425414</v>
      </c>
      <c r="R29" s="8">
        <f t="shared" si="4"/>
        <v>5.7392484407425419</v>
      </c>
      <c r="S29" s="8">
        <f t="shared" si="5"/>
        <v>57.392484407425414</v>
      </c>
      <c r="T29" s="8">
        <f t="shared" si="15"/>
        <v>573.92484407425411</v>
      </c>
      <c r="V29" s="8">
        <f t="shared" si="6"/>
        <v>827.28584468724182</v>
      </c>
      <c r="W29" s="8">
        <f t="shared" si="7"/>
        <v>1888.2683257870162</v>
      </c>
      <c r="X29" s="8">
        <f t="shared" si="8"/>
        <v>4300.1168569483161</v>
      </c>
      <c r="Z29" s="22">
        <f t="shared" si="9"/>
        <v>144145.32725476645</v>
      </c>
      <c r="AA29" s="22">
        <f t="shared" si="10"/>
        <v>32900.968572510741</v>
      </c>
      <c r="AB29" s="22">
        <f t="shared" si="11"/>
        <v>7492.4737992209466</v>
      </c>
      <c r="AC29" s="22"/>
      <c r="AD29" s="22"/>
      <c r="AE29" s="22"/>
      <c r="AF29" s="22"/>
      <c r="AG29" s="22"/>
      <c r="AH29" s="22"/>
      <c r="AI29" s="22"/>
      <c r="AJ29" s="22"/>
      <c r="AK29" s="25"/>
      <c r="AL29" s="25"/>
      <c r="AM29" s="25"/>
      <c r="AN29" s="25"/>
      <c r="AO29" s="25"/>
      <c r="AS29" s="25"/>
      <c r="BB29" s="52">
        <f t="shared" si="12"/>
        <v>56.007672623564069</v>
      </c>
      <c r="BC29" s="52">
        <f t="shared" si="13"/>
        <v>127.83672644139899</v>
      </c>
      <c r="BD29" s="52">
        <f t="shared" si="14"/>
        <v>291.12009919386543</v>
      </c>
      <c r="BE29" s="25"/>
      <c r="BF29" s="45">
        <f>BB29/'TA1'!AJ35</f>
        <v>1.9317033593224123E-2</v>
      </c>
      <c r="BG29" s="45">
        <f>BC29/'TA1'!AI35</f>
        <v>1.4825014910020111E-2</v>
      </c>
      <c r="BH29" s="45">
        <f>BD29/'TA1'!AG35</f>
        <v>1.273369359765269E-2</v>
      </c>
    </row>
    <row r="30" spans="1:60">
      <c r="A30" s="39">
        <v>1942</v>
      </c>
      <c r="B30" s="26">
        <v>3.9713490754365921E-2</v>
      </c>
      <c r="C30" s="26">
        <v>2.9717827215790749E-2</v>
      </c>
      <c r="D30" s="26">
        <v>2.5274943560361862E-2</v>
      </c>
      <c r="E30" s="5"/>
      <c r="F30" s="57">
        <v>13.348326923429422</v>
      </c>
      <c r="G30" s="10"/>
      <c r="H30" s="70">
        <v>1.3216990923743428</v>
      </c>
      <c r="I30" s="71">
        <v>4.477073872790176</v>
      </c>
      <c r="J30" s="72">
        <v>12.905441063638763</v>
      </c>
      <c r="K30" s="7"/>
      <c r="L30" s="21">
        <v>96880</v>
      </c>
      <c r="M30" s="21">
        <f t="shared" si="0"/>
        <v>1280.4620806922633</v>
      </c>
      <c r="N30" s="21">
        <f t="shared" si="1"/>
        <v>4337.3891679591225</v>
      </c>
      <c r="O30" s="21">
        <f t="shared" si="2"/>
        <v>12502.791302453234</v>
      </c>
      <c r="P30" s="21"/>
      <c r="Q30" s="69">
        <v>57736.224318594097</v>
      </c>
      <c r="R30" s="8">
        <f t="shared" si="4"/>
        <v>5.77362243185941</v>
      </c>
      <c r="S30" s="8">
        <f t="shared" si="5"/>
        <v>57.736224318594097</v>
      </c>
      <c r="T30" s="8">
        <f t="shared" si="15"/>
        <v>577.362243185941</v>
      </c>
      <c r="V30" s="8">
        <f t="shared" si="6"/>
        <v>678.78403503622974</v>
      </c>
      <c r="W30" s="8">
        <f t="shared" si="7"/>
        <v>1720.5697319862079</v>
      </c>
      <c r="X30" s="8">
        <f t="shared" si="8"/>
        <v>4218.1693448108826</v>
      </c>
      <c r="Z30" s="22">
        <f t="shared" si="9"/>
        <v>117566.40532824479</v>
      </c>
      <c r="AA30" s="22">
        <f t="shared" si="10"/>
        <v>29800.52388760195</v>
      </c>
      <c r="AB30" s="22">
        <f t="shared" si="11"/>
        <v>7305.9320982518948</v>
      </c>
      <c r="AC30" s="22"/>
      <c r="AD30" s="22"/>
      <c r="AE30" s="22"/>
      <c r="AF30" s="22"/>
      <c r="AG30" s="22"/>
      <c r="AH30" s="22"/>
      <c r="AI30" s="22"/>
      <c r="AJ30" s="22"/>
      <c r="AK30" s="25"/>
      <c r="AL30" s="25"/>
      <c r="AM30" s="25"/>
      <c r="AN30" s="25"/>
      <c r="AO30" s="25"/>
      <c r="AS30" s="25"/>
      <c r="BB30" s="52">
        <f t="shared" si="12"/>
        <v>50.851619002888349</v>
      </c>
      <c r="BC30" s="52">
        <f t="shared" si="13"/>
        <v>128.89778186105161</v>
      </c>
      <c r="BD30" s="52">
        <f t="shared" si="14"/>
        <v>316.00734451648867</v>
      </c>
      <c r="BE30" s="25"/>
      <c r="BF30" s="45">
        <f>BB30/'TA1'!AJ36</f>
        <v>1.412408602738514E-2</v>
      </c>
      <c r="BG30" s="45">
        <f>BC30/'TA1'!AI36</f>
        <v>1.1829896648532798E-2</v>
      </c>
      <c r="BH30" s="45">
        <f>BD30/'TA1'!AG36</f>
        <v>1.1219007834923946E-2</v>
      </c>
    </row>
    <row r="31" spans="1:60">
      <c r="A31" s="39">
        <v>1943</v>
      </c>
      <c r="B31" s="26"/>
      <c r="C31" s="26"/>
      <c r="D31" s="26"/>
      <c r="E31" s="5"/>
      <c r="F31" s="57">
        <v>12.575257796589881</v>
      </c>
      <c r="G31" s="10"/>
      <c r="H31" s="70">
        <v>0.97267087256462537</v>
      </c>
      <c r="I31" s="71">
        <v>3.7832686913105351</v>
      </c>
      <c r="J31" s="72">
        <v>11.484653721380797</v>
      </c>
      <c r="K31" s="7"/>
      <c r="L31" s="21">
        <v>119920</v>
      </c>
      <c r="M31" s="21">
        <f t="shared" si="0"/>
        <v>1166.4269103794986</v>
      </c>
      <c r="N31" s="21">
        <f t="shared" si="1"/>
        <v>4536.8958146195937</v>
      </c>
      <c r="O31" s="21">
        <f t="shared" si="2"/>
        <v>13772.396742679852</v>
      </c>
      <c r="P31" s="21"/>
      <c r="Q31" s="69">
        <v>58249.516076489876</v>
      </c>
      <c r="R31" s="8">
        <f t="shared" si="4"/>
        <v>5.8249516076489876</v>
      </c>
      <c r="S31" s="8">
        <f t="shared" si="5"/>
        <v>58.249516076489876</v>
      </c>
      <c r="T31" s="8">
        <f t="shared" si="15"/>
        <v>582.49516076489874</v>
      </c>
      <c r="V31" s="8"/>
      <c r="W31" s="8"/>
      <c r="X31" s="8"/>
      <c r="Z31" s="25"/>
      <c r="AA31" s="25"/>
      <c r="AB31" s="25"/>
      <c r="AC31" s="25"/>
      <c r="AD31" s="25"/>
      <c r="AE31" s="25"/>
      <c r="AF31" s="25"/>
      <c r="AG31" s="25"/>
      <c r="AH31" s="25"/>
      <c r="AI31" s="25"/>
      <c r="AJ31" s="25"/>
      <c r="AK31" s="25"/>
      <c r="AL31" s="25"/>
      <c r="AM31" s="25"/>
      <c r="AN31" s="25"/>
      <c r="AO31" s="25"/>
      <c r="AS31" s="25"/>
      <c r="BB31" s="51"/>
      <c r="BC31" s="51"/>
      <c r="BD31" s="51"/>
      <c r="BE31" s="25"/>
    </row>
    <row r="32" spans="1:60">
      <c r="A32" s="39">
        <v>1944</v>
      </c>
      <c r="B32" s="26">
        <v>4.7171000391244888E-2</v>
      </c>
      <c r="C32" s="26">
        <v>3.6614902317523956E-2</v>
      </c>
      <c r="D32" s="26">
        <v>2.577662467956543E-2</v>
      </c>
      <c r="E32" s="5"/>
      <c r="F32" s="57">
        <v>12.360500073308456</v>
      </c>
      <c r="G32" s="10"/>
      <c r="H32" s="70">
        <v>0.92409113609512228</v>
      </c>
      <c r="I32" s="71">
        <v>3.3274228934788352</v>
      </c>
      <c r="J32" s="72">
        <v>10.53867000025793</v>
      </c>
      <c r="K32" s="7"/>
      <c r="L32" s="21">
        <v>121393.55715684955</v>
      </c>
      <c r="M32" s="21">
        <f t="shared" si="0"/>
        <v>1121.7871014770126</v>
      </c>
      <c r="N32" s="21">
        <f t="shared" si="1"/>
        <v>4039.277012045327</v>
      </c>
      <c r="O32" s="21">
        <f t="shared" si="2"/>
        <v>12793.266390334868</v>
      </c>
      <c r="P32" s="21"/>
      <c r="Q32" s="69">
        <v>58656.203693425334</v>
      </c>
      <c r="R32" s="8">
        <f t="shared" si="4"/>
        <v>5.8656203693425333</v>
      </c>
      <c r="S32" s="8">
        <f t="shared" si="5"/>
        <v>58.656203693425333</v>
      </c>
      <c r="T32" s="8">
        <f t="shared" si="15"/>
        <v>586.56203693425334</v>
      </c>
      <c r="V32" s="8">
        <f t="shared" ref="V32:X38" si="16">B32*M32*$F32</f>
        <v>654.06599455002561</v>
      </c>
      <c r="W32" s="8">
        <f t="shared" si="16"/>
        <v>1828.0899424248908</v>
      </c>
      <c r="X32" s="8">
        <f t="shared" si="16"/>
        <v>4076.0878232411092</v>
      </c>
      <c r="Z32" s="22">
        <f t="shared" ref="Z32:AB38" si="17">V32/R32*1000000/1000</f>
        <v>111508.4088920229</v>
      </c>
      <c r="AA32" s="22">
        <f t="shared" si="17"/>
        <v>31166.182386771106</v>
      </c>
      <c r="AB32" s="22">
        <f t="shared" si="17"/>
        <v>6949.11631946953</v>
      </c>
      <c r="AC32" s="22"/>
      <c r="AD32" s="22"/>
      <c r="AE32" s="22"/>
      <c r="AF32" s="22"/>
      <c r="AG32" s="22"/>
      <c r="AH32" s="22"/>
      <c r="AI32" s="22"/>
      <c r="AJ32" s="22"/>
      <c r="AK32" s="25"/>
      <c r="AL32" s="25"/>
      <c r="AM32" s="25"/>
      <c r="AN32" s="25"/>
      <c r="AO32" s="25"/>
      <c r="AS32" s="25"/>
      <c r="BB32" s="52">
        <f t="shared" ref="BB32:BD38" si="18">V32/$F32</f>
        <v>52.915819802665631</v>
      </c>
      <c r="BC32" s="52">
        <f t="shared" si="18"/>
        <v>147.89773322945967</v>
      </c>
      <c r="BD32" s="52">
        <f t="shared" si="18"/>
        <v>329.7672261693607</v>
      </c>
      <c r="BE32" s="25"/>
      <c r="BF32" s="45">
        <f>BB32/'TA1'!AJ38</f>
        <v>1.4766753500677663E-2</v>
      </c>
      <c r="BG32" s="45">
        <f>BC32/'TA1'!AI38</f>
        <v>1.3693775439459946E-2</v>
      </c>
      <c r="BH32" s="45">
        <f>BD32/'TA1'!AG38</f>
        <v>1.1064220700494487E-2</v>
      </c>
    </row>
    <row r="33" spans="1:60">
      <c r="A33" s="39">
        <v>1945</v>
      </c>
      <c r="B33" s="26">
        <v>6.1977241188287735E-2</v>
      </c>
      <c r="C33" s="26">
        <v>4.6448960900306702E-2</v>
      </c>
      <c r="D33" s="26">
        <v>3.0722491443157196E-2</v>
      </c>
      <c r="E33" s="5"/>
      <c r="F33" s="57">
        <v>12.085312687631836</v>
      </c>
      <c r="G33" s="10"/>
      <c r="H33" s="70">
        <v>0.84491417334779451</v>
      </c>
      <c r="I33" s="71">
        <v>3.31886971735655</v>
      </c>
      <c r="J33" s="72">
        <v>11.071193948809938</v>
      </c>
      <c r="K33" s="7"/>
      <c r="L33" s="21">
        <v>122236.44662323545</v>
      </c>
      <c r="M33" s="21">
        <f t="shared" si="0"/>
        <v>1032.7930625164279</v>
      </c>
      <c r="N33" s="21">
        <f t="shared" si="1"/>
        <v>4056.8684105512643</v>
      </c>
      <c r="O33" s="21">
        <f t="shared" si="2"/>
        <v>13533.034081791933</v>
      </c>
      <c r="P33" s="21"/>
      <c r="Q33" s="69">
        <v>58997.355903064556</v>
      </c>
      <c r="R33" s="8">
        <f t="shared" si="4"/>
        <v>5.8997355903064559</v>
      </c>
      <c r="S33" s="8">
        <f t="shared" si="5"/>
        <v>58.997355903064559</v>
      </c>
      <c r="T33" s="8">
        <f t="shared" si="15"/>
        <v>589.97355903064556</v>
      </c>
      <c r="V33" s="8">
        <f t="shared" si="16"/>
        <v>773.57681333085134</v>
      </c>
      <c r="W33" s="8">
        <f t="shared" si="16"/>
        <v>2277.3239605578901</v>
      </c>
      <c r="X33" s="8">
        <f t="shared" si="16"/>
        <v>5024.6926155298943</v>
      </c>
      <c r="Z33" s="22">
        <f t="shared" si="17"/>
        <v>131120.59031965342</v>
      </c>
      <c r="AA33" s="22">
        <f t="shared" si="17"/>
        <v>38600.441082472251</v>
      </c>
      <c r="AB33" s="22">
        <f t="shared" si="17"/>
        <v>8516.8098444711704</v>
      </c>
      <c r="AC33" s="22"/>
      <c r="AD33" s="22"/>
      <c r="AE33" s="22"/>
      <c r="AF33" s="22"/>
      <c r="AG33" s="22"/>
      <c r="AH33" s="22"/>
      <c r="AI33" s="22"/>
      <c r="AJ33" s="22"/>
      <c r="AK33" s="25"/>
      <c r="AL33" s="25"/>
      <c r="AM33" s="25"/>
      <c r="AN33" s="25"/>
      <c r="AO33" s="25"/>
      <c r="AS33" s="25"/>
      <c r="BB33" s="52">
        <f t="shared" si="18"/>
        <v>64.009664733170979</v>
      </c>
      <c r="BC33" s="52">
        <f t="shared" si="18"/>
        <v>188.43732217938506</v>
      </c>
      <c r="BD33" s="52">
        <f t="shared" si="18"/>
        <v>415.76852377780739</v>
      </c>
      <c r="BE33" s="25"/>
      <c r="BF33" s="45">
        <f>BB33/'TA1'!AJ39</f>
        <v>2.1999543961378976E-2</v>
      </c>
      <c r="BG33" s="45">
        <f>BC33/'TA1'!AI39</f>
        <v>1.944216694630431E-2</v>
      </c>
      <c r="BH33" s="45">
        <f>BD33/'TA1'!AG39</f>
        <v>1.4464296759449534E-2</v>
      </c>
    </row>
    <row r="34" spans="1:60">
      <c r="A34" s="39">
        <v>1946</v>
      </c>
      <c r="B34" s="26">
        <v>6.5709106624126434E-2</v>
      </c>
      <c r="C34" s="26">
        <v>4.7385025769472122E-2</v>
      </c>
      <c r="D34" s="26">
        <v>3.0725101009011269E-2</v>
      </c>
      <c r="E34" s="5"/>
      <c r="F34" s="57">
        <v>11.1350145959548</v>
      </c>
      <c r="G34" s="10"/>
      <c r="H34" s="70">
        <v>0.91638256707099308</v>
      </c>
      <c r="I34" s="71">
        <v>3.4321167613422654</v>
      </c>
      <c r="J34" s="72">
        <v>11.762425770547628</v>
      </c>
      <c r="K34" s="7"/>
      <c r="L34" s="21">
        <v>134199.22264923877</v>
      </c>
      <c r="M34" s="21">
        <f t="shared" si="0"/>
        <v>1229.7782815024118</v>
      </c>
      <c r="N34" s="21">
        <f t="shared" si="1"/>
        <v>4605.8740141355493</v>
      </c>
      <c r="O34" s="21">
        <f t="shared" si="2"/>
        <v>15785.08394876865</v>
      </c>
      <c r="P34" s="21"/>
      <c r="Q34" s="69">
        <v>59297.344988542332</v>
      </c>
      <c r="R34" s="8">
        <f t="shared" si="4"/>
        <v>5.9297344988542333</v>
      </c>
      <c r="S34" s="8">
        <f t="shared" si="5"/>
        <v>59.297344988542335</v>
      </c>
      <c r="T34" s="8">
        <f t="shared" si="15"/>
        <v>592.97344988542329</v>
      </c>
      <c r="V34" s="8">
        <f t="shared" si="16"/>
        <v>899.79416427073636</v>
      </c>
      <c r="W34" s="8">
        <f t="shared" si="16"/>
        <v>2430.2109098623937</v>
      </c>
      <c r="X34" s="8">
        <f t="shared" si="16"/>
        <v>5400.4631357240996</v>
      </c>
      <c r="Z34" s="22">
        <f t="shared" si="17"/>
        <v>151742.74066479673</v>
      </c>
      <c r="AA34" s="22">
        <f t="shared" si="17"/>
        <v>40983.469164293419</v>
      </c>
      <c r="AB34" s="22">
        <f t="shared" si="17"/>
        <v>9107.4282276341364</v>
      </c>
      <c r="AC34" s="22"/>
      <c r="AD34" s="22"/>
      <c r="AE34" s="22"/>
      <c r="AF34" s="22"/>
      <c r="AG34" s="22"/>
      <c r="AH34" s="22"/>
      <c r="AI34" s="22"/>
      <c r="AJ34" s="22"/>
      <c r="AK34" s="25"/>
      <c r="AL34" s="25"/>
      <c r="AM34" s="25"/>
      <c r="AN34" s="25"/>
      <c r="AO34" s="25"/>
      <c r="AS34" s="25"/>
      <c r="BB34" s="52">
        <f t="shared" si="18"/>
        <v>80.807632223276954</v>
      </c>
      <c r="BC34" s="52">
        <f t="shared" si="18"/>
        <v>218.24945885075502</v>
      </c>
      <c r="BD34" s="52">
        <f t="shared" si="18"/>
        <v>484.99829876163921</v>
      </c>
      <c r="BE34" s="25"/>
      <c r="BF34" s="45">
        <f>BB34/'TA1'!AJ40</f>
        <v>2.8533879777129206E-2</v>
      </c>
      <c r="BG34" s="45">
        <f>BC34/'TA1'!AI40</f>
        <v>2.4071481512799892E-2</v>
      </c>
      <c r="BH34" s="45">
        <f>BD34/'TA1'!AG40</f>
        <v>1.7011825278485916E-2</v>
      </c>
    </row>
    <row r="35" spans="1:60">
      <c r="A35" s="39">
        <v>1947</v>
      </c>
      <c r="B35" s="26">
        <v>6.3488945364952087E-2</v>
      </c>
      <c r="C35" s="26">
        <v>5.2854083478450775E-2</v>
      </c>
      <c r="D35" s="26">
        <v>3.261999785900116E-2</v>
      </c>
      <c r="E35" s="5"/>
      <c r="F35" s="57">
        <v>9.7368961713506081</v>
      </c>
      <c r="G35" s="10"/>
      <c r="H35" s="70">
        <v>0.90289404896681669</v>
      </c>
      <c r="I35" s="71">
        <v>3.2356965444957559</v>
      </c>
      <c r="J35" s="72">
        <v>10.953835923874255</v>
      </c>
      <c r="K35" s="7"/>
      <c r="L35" s="21">
        <v>150261.74722414216</v>
      </c>
      <c r="M35" s="21">
        <f t="shared" si="0"/>
        <v>1356.7043735603404</v>
      </c>
      <c r="N35" s="21">
        <f t="shared" si="1"/>
        <v>4862.0141626305158</v>
      </c>
      <c r="O35" s="21">
        <f t="shared" si="2"/>
        <v>16459.42524727921</v>
      </c>
      <c r="P35" s="21"/>
      <c r="Q35" s="69">
        <v>60118.457600747046</v>
      </c>
      <c r="R35" s="8">
        <f t="shared" si="4"/>
        <v>6.0118457600747046</v>
      </c>
      <c r="S35" s="8">
        <f t="shared" si="5"/>
        <v>60.11845760074705</v>
      </c>
      <c r="T35" s="8">
        <f t="shared" si="15"/>
        <v>601.18457600747047</v>
      </c>
      <c r="V35" s="8">
        <f t="shared" si="16"/>
        <v>838.69465818676258</v>
      </c>
      <c r="W35" s="8">
        <f t="shared" si="16"/>
        <v>2502.1613121068003</v>
      </c>
      <c r="X35" s="8">
        <f t="shared" si="16"/>
        <v>5227.8020295044116</v>
      </c>
      <c r="Z35" s="22">
        <f t="shared" si="17"/>
        <v>139507.01525921066</v>
      </c>
      <c r="AA35" s="22">
        <f t="shared" si="17"/>
        <v>41620.517424514022</v>
      </c>
      <c r="AB35" s="22">
        <f t="shared" si="17"/>
        <v>8695.83525283165</v>
      </c>
      <c r="AC35" s="22"/>
      <c r="AD35" s="22"/>
      <c r="AE35" s="22"/>
      <c r="AF35" s="22"/>
      <c r="AG35" s="22"/>
      <c r="AH35" s="22"/>
      <c r="AI35" s="22"/>
      <c r="AJ35" s="22"/>
      <c r="AK35" s="25"/>
      <c r="AL35" s="25"/>
      <c r="AM35" s="25"/>
      <c r="AN35" s="25"/>
      <c r="AO35" s="25"/>
      <c r="AS35" s="25"/>
      <c r="BB35" s="52">
        <f t="shared" si="18"/>
        <v>86.135729849363997</v>
      </c>
      <c r="BC35" s="52">
        <f t="shared" si="18"/>
        <v>256.97730242508322</v>
      </c>
      <c r="BD35" s="52">
        <f t="shared" si="18"/>
        <v>536.90641632663744</v>
      </c>
      <c r="BE35" s="25"/>
      <c r="BF35" s="45">
        <f>BB35/'TA1'!AJ41</f>
        <v>2.306500232793322E-2</v>
      </c>
      <c r="BG35" s="45">
        <f>BC35/'TA1'!AI41</f>
        <v>2.356702126020065E-2</v>
      </c>
      <c r="BH35" s="45">
        <f>BD35/'TA1'!AG41</f>
        <v>1.6831865830538813E-2</v>
      </c>
    </row>
    <row r="36" spans="1:60">
      <c r="A36" s="39">
        <v>1948</v>
      </c>
      <c r="B36" s="26">
        <v>6.6408842802047729E-2</v>
      </c>
      <c r="C36" s="26">
        <v>4.326210543513298E-2</v>
      </c>
      <c r="D36" s="26">
        <v>2.8670191764831543E-2</v>
      </c>
      <c r="E36" s="5"/>
      <c r="F36" s="57">
        <v>9.034651232501469</v>
      </c>
      <c r="G36" s="10"/>
      <c r="H36" s="70">
        <v>0.95385118565953486</v>
      </c>
      <c r="I36" s="71">
        <v>3.4371439795543273</v>
      </c>
      <c r="J36" s="72">
        <v>11.269872474143945</v>
      </c>
      <c r="K36" s="7"/>
      <c r="L36" s="21">
        <v>166778.82213714879</v>
      </c>
      <c r="M36" s="21">
        <f t="shared" si="0"/>
        <v>1590.8217723842006</v>
      </c>
      <c r="N36" s="21">
        <f t="shared" si="1"/>
        <v>5732.4282442586291</v>
      </c>
      <c r="O36" s="21">
        <f t="shared" si="2"/>
        <v>18795.760568736019</v>
      </c>
      <c r="P36" s="21"/>
      <c r="Q36" s="69">
        <v>60825.465619867253</v>
      </c>
      <c r="R36" s="8">
        <f t="shared" si="4"/>
        <v>6.0825465619867254</v>
      </c>
      <c r="S36" s="8">
        <f t="shared" si="5"/>
        <v>60.825465619867252</v>
      </c>
      <c r="T36" s="8">
        <f t="shared" si="15"/>
        <v>608.25465619867259</v>
      </c>
      <c r="V36" s="8">
        <f t="shared" si="16"/>
        <v>954.46241381594029</v>
      </c>
      <c r="W36" s="8">
        <f t="shared" si="16"/>
        <v>2240.5656346869214</v>
      </c>
      <c r="X36" s="8">
        <f t="shared" si="16"/>
        <v>4868.5753277862359</v>
      </c>
      <c r="Z36" s="22">
        <f t="shared" si="17"/>
        <v>156918.22562952759</v>
      </c>
      <c r="AA36" s="22">
        <f t="shared" si="17"/>
        <v>36835.979993798712</v>
      </c>
      <c r="AB36" s="22">
        <f t="shared" si="17"/>
        <v>8004.172723005061</v>
      </c>
      <c r="AC36" s="22"/>
      <c r="AD36" s="22"/>
      <c r="AE36" s="22"/>
      <c r="AF36" s="22"/>
      <c r="AG36" s="22"/>
      <c r="AH36" s="22"/>
      <c r="AI36" s="22"/>
      <c r="AJ36" s="22"/>
      <c r="AK36" s="25"/>
      <c r="AL36" s="25"/>
      <c r="AM36" s="25"/>
      <c r="AN36" s="25"/>
      <c r="AO36" s="25"/>
      <c r="AS36" s="25"/>
      <c r="BB36" s="52">
        <f t="shared" si="18"/>
        <v>105.64463300833734</v>
      </c>
      <c r="BC36" s="52">
        <f t="shared" si="18"/>
        <v>247.99691510245103</v>
      </c>
      <c r="BD36" s="52">
        <f t="shared" si="18"/>
        <v>538.8780598715208</v>
      </c>
      <c r="BE36" s="25"/>
      <c r="BF36" s="45">
        <f>BB36/'TA1'!AJ42</f>
        <v>2.2197668413803707E-2</v>
      </c>
      <c r="BG36" s="45">
        <f>BC36/'TA1'!AI42</f>
        <v>1.7902262501109406E-2</v>
      </c>
      <c r="BH36" s="45">
        <f>BD36/'TA1'!AG42</f>
        <v>1.3953006454914544E-2</v>
      </c>
    </row>
    <row r="37" spans="1:60">
      <c r="A37" s="39">
        <v>1949</v>
      </c>
      <c r="B37" s="26">
        <v>5.8753158897161484E-2</v>
      </c>
      <c r="C37" s="26">
        <v>4.4382881373167038E-2</v>
      </c>
      <c r="D37" s="26">
        <v>2.9467027634382248E-2</v>
      </c>
      <c r="E37" s="5"/>
      <c r="F37" s="57">
        <v>9.1232262445848136</v>
      </c>
      <c r="G37" s="10"/>
      <c r="H37" s="70">
        <v>0.95443071522288514</v>
      </c>
      <c r="I37" s="71">
        <v>3.336752323061472</v>
      </c>
      <c r="J37" s="72">
        <v>10.946064706587993</v>
      </c>
      <c r="K37" s="7"/>
      <c r="L37" s="21">
        <v>165005.5141610865</v>
      </c>
      <c r="M37" s="21">
        <f t="shared" ref="M37:M68" si="19">H37*$L37/100</f>
        <v>1574.8633089648567</v>
      </c>
      <c r="N37" s="21">
        <f t="shared" ref="N37:N68" si="20">I37*$L37/100</f>
        <v>5505.825326949579</v>
      </c>
      <c r="O37" s="21">
        <f t="shared" ref="O37:O68" si="21">J37*$L37/100</f>
        <v>18061.610349510742</v>
      </c>
      <c r="P37" s="21"/>
      <c r="Q37" s="69">
        <v>61536.661793876156</v>
      </c>
      <c r="R37" s="8">
        <f t="shared" si="4"/>
        <v>6.1536661793876162</v>
      </c>
      <c r="S37" s="8">
        <f t="shared" si="5"/>
        <v>61.536661793876156</v>
      </c>
      <c r="T37" s="8">
        <f t="shared" si="15"/>
        <v>615.36661793876158</v>
      </c>
      <c r="V37" s="8">
        <f t="shared" si="16"/>
        <v>844.15564998983291</v>
      </c>
      <c r="W37" s="8">
        <f t="shared" si="16"/>
        <v>2229.3916375056538</v>
      </c>
      <c r="X37" s="8">
        <f t="shared" si="16"/>
        <v>4855.581456421949</v>
      </c>
      <c r="Z37" s="22">
        <f t="shared" si="17"/>
        <v>137179.3050486595</v>
      </c>
      <c r="AA37" s="22">
        <f t="shared" si="17"/>
        <v>36228.673647804419</v>
      </c>
      <c r="AB37" s="22">
        <f t="shared" si="17"/>
        <v>7890.5506325420365</v>
      </c>
      <c r="AC37" s="22"/>
      <c r="AD37" s="22"/>
      <c r="AE37" s="22"/>
      <c r="AF37" s="22"/>
      <c r="AG37" s="22"/>
      <c r="AH37" s="22"/>
      <c r="AI37" s="22"/>
      <c r="AJ37" s="22"/>
      <c r="AK37" s="25"/>
      <c r="AL37" s="25"/>
      <c r="AM37" s="25"/>
      <c r="AN37" s="25"/>
      <c r="AO37" s="25"/>
      <c r="AS37" s="25"/>
      <c r="BB37" s="52">
        <f t="shared" si="18"/>
        <v>92.528194232921749</v>
      </c>
      <c r="BC37" s="52">
        <f t="shared" si="18"/>
        <v>244.36439234738177</v>
      </c>
      <c r="BD37" s="52">
        <f t="shared" si="18"/>
        <v>532.22197129047743</v>
      </c>
      <c r="BE37" s="25"/>
      <c r="BF37" s="45">
        <f>BB37/'TA1'!AJ43</f>
        <v>1.9868089569774577E-2</v>
      </c>
      <c r="BG37" s="45">
        <f>BC37/'TA1'!AI43</f>
        <v>1.8449244333277062E-2</v>
      </c>
      <c r="BH37" s="45">
        <f>BD37/'TA1'!AG43</f>
        <v>1.4624186208202447E-2</v>
      </c>
    </row>
    <row r="38" spans="1:60">
      <c r="A38" s="39">
        <v>1950</v>
      </c>
      <c r="B38" s="26">
        <v>5.7910304516553879E-2</v>
      </c>
      <c r="C38" s="26">
        <v>4.271409660577774E-2</v>
      </c>
      <c r="D38" s="26">
        <v>2.8115708380937576E-2</v>
      </c>
      <c r="E38" s="5"/>
      <c r="F38" s="57">
        <v>9.034651232501469</v>
      </c>
      <c r="G38" s="10"/>
      <c r="H38" s="70">
        <v>0.82690330608120532</v>
      </c>
      <c r="I38" s="71">
        <v>3.5318014264095456</v>
      </c>
      <c r="J38" s="72">
        <v>11.360065498282971</v>
      </c>
      <c r="K38" s="7"/>
      <c r="L38" s="21">
        <v>182539.35609498681</v>
      </c>
      <c r="M38" s="21">
        <f t="shared" si="19"/>
        <v>1509.42397044879</v>
      </c>
      <c r="N38" s="21">
        <f t="shared" si="20"/>
        <v>6446.9275823215439</v>
      </c>
      <c r="O38" s="21">
        <f t="shared" si="21"/>
        <v>20736.59041253449</v>
      </c>
      <c r="P38" s="21"/>
      <c r="Q38" s="69">
        <v>62446</v>
      </c>
      <c r="R38" s="8">
        <f t="shared" si="4"/>
        <v>6.2446000000000002</v>
      </c>
      <c r="S38" s="8">
        <f t="shared" si="5"/>
        <v>62.445999999999998</v>
      </c>
      <c r="T38" s="8">
        <f t="shared" si="15"/>
        <v>624.46</v>
      </c>
      <c r="V38" s="8">
        <f t="shared" si="16"/>
        <v>789.7297218353558</v>
      </c>
      <c r="W38" s="8">
        <f t="shared" si="16"/>
        <v>2487.9142603793407</v>
      </c>
      <c r="X38" s="8">
        <f t="shared" si="16"/>
        <v>5267.4178573965228</v>
      </c>
      <c r="Z38" s="22">
        <f t="shared" si="17"/>
        <v>126466.02213678311</v>
      </c>
      <c r="AA38" s="22">
        <f t="shared" si="17"/>
        <v>39841.050833990012</v>
      </c>
      <c r="AB38" s="22">
        <f t="shared" si="17"/>
        <v>8435.1565470911228</v>
      </c>
      <c r="AC38" s="22"/>
      <c r="AD38" s="22"/>
      <c r="AE38" s="22"/>
      <c r="AF38" s="22"/>
      <c r="AG38" s="22"/>
      <c r="AH38" s="22"/>
      <c r="AI38" s="22"/>
      <c r="AJ38" s="22"/>
      <c r="AK38" s="25"/>
      <c r="AL38" s="25"/>
      <c r="AM38" s="25"/>
      <c r="AN38" s="25"/>
      <c r="AO38" s="25"/>
      <c r="AS38" s="25"/>
      <c r="BB38" s="52">
        <f t="shared" si="18"/>
        <v>87.411201773275252</v>
      </c>
      <c r="BC38" s="52">
        <f t="shared" si="18"/>
        <v>275.37468756173553</v>
      </c>
      <c r="BD38" s="52">
        <f t="shared" si="18"/>
        <v>583.02392885376571</v>
      </c>
      <c r="BE38" s="25"/>
      <c r="BF38" s="45">
        <f>BB38/'TA1'!AJ44</f>
        <v>2.0211812527194666E-2</v>
      </c>
      <c r="BG38" s="45">
        <f>BC38/'TA1'!AI44</f>
        <v>1.8154182949153608E-2</v>
      </c>
      <c r="BH38" s="45">
        <f>BD38/'TA1'!AG44</f>
        <v>1.3787672615730466E-2</v>
      </c>
    </row>
    <row r="39" spans="1:60">
      <c r="A39" s="39">
        <v>1951</v>
      </c>
      <c r="B39" s="26"/>
      <c r="C39" s="26"/>
      <c r="D39" s="26"/>
      <c r="E39" s="5"/>
      <c r="F39" s="57">
        <v>8.3727294841048323</v>
      </c>
      <c r="G39" s="10"/>
      <c r="H39" s="70">
        <v>0.86516933361116533</v>
      </c>
      <c r="I39" s="71">
        <v>3.1170911251546349</v>
      </c>
      <c r="J39" s="72">
        <v>10.518335555718981</v>
      </c>
      <c r="K39" s="7"/>
      <c r="L39" s="21">
        <v>204931.01915195637</v>
      </c>
      <c r="M39" s="21">
        <f t="shared" si="19"/>
        <v>1773.0003327595505</v>
      </c>
      <c r="N39" s="21">
        <f t="shared" si="20"/>
        <v>6387.8866106745772</v>
      </c>
      <c r="O39" s="21">
        <f t="shared" si="21"/>
        <v>21555.332252157499</v>
      </c>
      <c r="P39" s="21"/>
      <c r="Q39" s="69">
        <v>63059.890213245293</v>
      </c>
      <c r="R39" s="8">
        <f t="shared" si="4"/>
        <v>6.30598902132453</v>
      </c>
      <c r="S39" s="8">
        <f t="shared" si="5"/>
        <v>63.059890213245296</v>
      </c>
      <c r="T39" s="8">
        <f t="shared" si="15"/>
        <v>630.59890213245296</v>
      </c>
      <c r="V39" s="8"/>
      <c r="W39" s="8"/>
      <c r="X39" s="8"/>
      <c r="Z39" s="25"/>
      <c r="AA39" s="25"/>
      <c r="AB39" s="25"/>
      <c r="AC39" s="25"/>
      <c r="AD39" s="25"/>
      <c r="AE39" s="25"/>
      <c r="AF39" s="25"/>
      <c r="AG39" s="25"/>
      <c r="AH39" s="25"/>
      <c r="AI39" s="25"/>
      <c r="AJ39" s="25"/>
      <c r="AK39" s="25"/>
      <c r="AL39" s="25"/>
      <c r="AM39" s="25"/>
      <c r="AN39" s="25"/>
      <c r="AO39" s="25"/>
      <c r="AS39" s="25"/>
      <c r="BB39" s="51"/>
      <c r="BC39" s="51"/>
      <c r="BD39" s="51"/>
      <c r="BE39" s="25"/>
    </row>
    <row r="40" spans="1:60">
      <c r="A40" s="39">
        <v>1952</v>
      </c>
      <c r="B40" s="26">
        <v>7.7547036111354828E-2</v>
      </c>
      <c r="C40" s="26">
        <v>5.4435480386018753E-2</v>
      </c>
      <c r="D40" s="26">
        <v>3.3412959426641464E-2</v>
      </c>
      <c r="E40" s="5"/>
      <c r="F40" s="57">
        <v>8.1936899857025889</v>
      </c>
      <c r="G40" s="10"/>
      <c r="H40" s="70">
        <v>0.74571694613321526</v>
      </c>
      <c r="I40" s="71">
        <v>2.7559125464356864</v>
      </c>
      <c r="J40" s="72">
        <v>9.7583202165547416</v>
      </c>
      <c r="K40" s="7"/>
      <c r="L40" s="21">
        <v>218231.94781739844</v>
      </c>
      <c r="M40" s="21">
        <f t="shared" si="19"/>
        <v>1627.3926167509355</v>
      </c>
      <c r="N40" s="21">
        <f t="shared" si="20"/>
        <v>6014.2816302306637</v>
      </c>
      <c r="O40" s="21">
        <f t="shared" si="21"/>
        <v>21295.772282846385</v>
      </c>
      <c r="P40" s="21"/>
      <c r="Q40" s="69">
        <v>63684.1301574846</v>
      </c>
      <c r="R40" s="8">
        <f t="shared" si="4"/>
        <v>6.3684130157484606</v>
      </c>
      <c r="S40" s="8">
        <f t="shared" si="5"/>
        <v>63.684130157484603</v>
      </c>
      <c r="T40" s="8">
        <f t="shared" si="15"/>
        <v>636.84130157484606</v>
      </c>
      <c r="V40" s="8">
        <f t="shared" ref="V40:X42" si="22">B40*M40*$F40</f>
        <v>1034.039366466621</v>
      </c>
      <c r="W40" s="8">
        <f t="shared" si="22"/>
        <v>2682.5347021558391</v>
      </c>
      <c r="X40" s="8">
        <f t="shared" si="22"/>
        <v>5830.259236209894</v>
      </c>
      <c r="Z40" s="22">
        <f t="shared" ref="Z40:AB42" si="23">V40/R40*1000000/1000</f>
        <v>162370.02278425457</v>
      </c>
      <c r="AA40" s="22">
        <f t="shared" si="23"/>
        <v>42122.498894499993</v>
      </c>
      <c r="AB40" s="22">
        <f t="shared" si="23"/>
        <v>9154.9640731407253</v>
      </c>
      <c r="AC40" s="22"/>
      <c r="AD40" s="22"/>
      <c r="AE40" s="22"/>
      <c r="AF40" s="22"/>
      <c r="AG40" s="22"/>
      <c r="AH40" s="22"/>
      <c r="AI40" s="22"/>
      <c r="AJ40" s="22"/>
      <c r="AK40" s="25"/>
      <c r="AL40" s="25"/>
      <c r="AM40" s="25"/>
      <c r="AN40" s="25"/>
      <c r="AO40" s="25"/>
      <c r="AS40" s="25"/>
      <c r="BB40" s="52">
        <f t="shared" ref="BB40:BD42" si="24">V40/$F40</f>
        <v>126.19947401853705</v>
      </c>
      <c r="BC40" s="52">
        <f t="shared" si="24"/>
        <v>327.39030971841419</v>
      </c>
      <c r="BD40" s="52">
        <f t="shared" si="24"/>
        <v>711.55477524574212</v>
      </c>
      <c r="BE40" s="25"/>
      <c r="BF40" s="45">
        <f>BB40/'TA1'!AJ46</f>
        <v>2.3590241063239609E-2</v>
      </c>
      <c r="BG40" s="45">
        <f>BC40/'TA1'!AI46</f>
        <v>2.0607915616752945E-2</v>
      </c>
      <c r="BH40" s="45">
        <f>BD40/'TA1'!AG46</f>
        <v>1.5362566440704092E-2</v>
      </c>
    </row>
    <row r="41" spans="1:60">
      <c r="A41" s="39">
        <v>1953</v>
      </c>
      <c r="B41" s="26">
        <v>8.0044232308864594E-2</v>
      </c>
      <c r="C41" s="26">
        <v>5.7083625346422195E-2</v>
      </c>
      <c r="D41" s="26">
        <v>3.4962493926286697E-2</v>
      </c>
      <c r="E41" s="5"/>
      <c r="F41" s="57">
        <v>8.1323140307535056</v>
      </c>
      <c r="G41" s="10"/>
      <c r="H41" s="70">
        <v>0.67264467154010632</v>
      </c>
      <c r="I41" s="71">
        <v>2.5063213094915051</v>
      </c>
      <c r="J41" s="72">
        <v>9.0810897702186377</v>
      </c>
      <c r="K41" s="7"/>
      <c r="L41" s="21">
        <v>231798.78209590973</v>
      </c>
      <c r="M41" s="21">
        <f t="shared" si="19"/>
        <v>1559.1821564629988</v>
      </c>
      <c r="N41" s="21">
        <f t="shared" si="20"/>
        <v>5809.6222708115656</v>
      </c>
      <c r="O41" s="21">
        <f t="shared" si="21"/>
        <v>21049.855488403049</v>
      </c>
      <c r="P41" s="21"/>
      <c r="Q41" s="69">
        <v>64273.150689587965</v>
      </c>
      <c r="R41" s="8">
        <f t="shared" si="4"/>
        <v>6.427315068958797</v>
      </c>
      <c r="S41" s="8">
        <f t="shared" si="5"/>
        <v>64.273150689587965</v>
      </c>
      <c r="T41" s="8">
        <f t="shared" si="15"/>
        <v>642.73150689587965</v>
      </c>
      <c r="V41" s="8">
        <f t="shared" si="22"/>
        <v>1014.9415692135742</v>
      </c>
      <c r="W41" s="8">
        <f t="shared" si="22"/>
        <v>2696.9542800060535</v>
      </c>
      <c r="X41" s="8">
        <f t="shared" si="22"/>
        <v>5985.0207886383187</v>
      </c>
      <c r="Z41" s="22">
        <f t="shared" si="23"/>
        <v>157910.66072290609</v>
      </c>
      <c r="AA41" s="22">
        <f t="shared" si="23"/>
        <v>41960.822692996611</v>
      </c>
      <c r="AB41" s="22">
        <f t="shared" si="23"/>
        <v>9311.8521877718867</v>
      </c>
      <c r="AC41" s="22"/>
      <c r="AD41" s="22"/>
      <c r="AE41" s="22"/>
      <c r="AF41" s="22"/>
      <c r="AG41" s="22"/>
      <c r="AH41" s="22"/>
      <c r="AI41" s="22"/>
      <c r="AJ41" s="22"/>
      <c r="AK41" s="25"/>
      <c r="AL41" s="25"/>
      <c r="AM41" s="25"/>
      <c r="AN41" s="25"/>
      <c r="AO41" s="25"/>
      <c r="AS41" s="25"/>
      <c r="BB41" s="52">
        <f t="shared" si="24"/>
        <v>124.80353874376074</v>
      </c>
      <c r="BC41" s="52">
        <f t="shared" si="24"/>
        <v>331.63430111123796</v>
      </c>
      <c r="BD41" s="52">
        <f t="shared" si="24"/>
        <v>735.95544466250431</v>
      </c>
      <c r="BE41" s="25"/>
      <c r="BF41" s="45">
        <f>BB41/'TA1'!AJ47</f>
        <v>2.3309646406710825E-2</v>
      </c>
      <c r="BG41" s="45">
        <f>BC41/'TA1'!AI47</f>
        <v>2.1293734436082574E-2</v>
      </c>
      <c r="BH41" s="45">
        <f>BD41/'TA1'!AG47</f>
        <v>1.6129959805411858E-2</v>
      </c>
    </row>
    <row r="42" spans="1:60">
      <c r="A42" s="39">
        <v>1954</v>
      </c>
      <c r="B42" s="26">
        <v>0.10765928775072098</v>
      </c>
      <c r="C42" s="26">
        <v>6.6292263567447662E-2</v>
      </c>
      <c r="D42" s="26">
        <v>3.8086727261543274E-2</v>
      </c>
      <c r="E42" s="5"/>
      <c r="F42" s="57">
        <v>8.0919050169360958</v>
      </c>
      <c r="G42" s="10"/>
      <c r="H42" s="70">
        <v>0.70588248853421987</v>
      </c>
      <c r="I42" s="71">
        <v>2.5663360562398658</v>
      </c>
      <c r="J42" s="72">
        <v>9.3904559145803042</v>
      </c>
      <c r="K42" s="7"/>
      <c r="L42" s="21">
        <v>232475.34220119246</v>
      </c>
      <c r="M42" s="21">
        <f t="shared" si="19"/>
        <v>1641.0027307582207</v>
      </c>
      <c r="N42" s="21">
        <f t="shared" si="20"/>
        <v>5966.0985287762151</v>
      </c>
      <c r="O42" s="21">
        <f t="shared" si="21"/>
        <v>21830.494521672677</v>
      </c>
      <c r="P42" s="21"/>
      <c r="Q42" s="69">
        <v>64928.229507237309</v>
      </c>
      <c r="R42" s="8">
        <f t="shared" si="4"/>
        <v>6.4928229507237312</v>
      </c>
      <c r="S42" s="8">
        <f t="shared" si="5"/>
        <v>64.928229507237305</v>
      </c>
      <c r="T42" s="8">
        <f t="shared" si="15"/>
        <v>649.28229507237313</v>
      </c>
      <c r="V42" s="8">
        <f t="shared" si="22"/>
        <v>1429.5902659803571</v>
      </c>
      <c r="W42" s="8">
        <f t="shared" si="22"/>
        <v>3200.3984109283415</v>
      </c>
      <c r="X42" s="8">
        <f t="shared" si="22"/>
        <v>6728.0313451419215</v>
      </c>
      <c r="Z42" s="22">
        <f t="shared" si="23"/>
        <v>220180.07834650812</v>
      </c>
      <c r="AA42" s="22">
        <f t="shared" si="23"/>
        <v>49291.324208549464</v>
      </c>
      <c r="AB42" s="22">
        <f t="shared" si="23"/>
        <v>10362.259060817254</v>
      </c>
      <c r="AC42" s="22"/>
      <c r="AD42" s="22"/>
      <c r="AE42" s="22"/>
      <c r="AF42" s="22"/>
      <c r="AG42" s="22"/>
      <c r="AH42" s="22"/>
      <c r="AI42" s="22"/>
      <c r="AJ42" s="22"/>
      <c r="AK42" s="25"/>
      <c r="AL42" s="25"/>
      <c r="AM42" s="25"/>
      <c r="AN42" s="25"/>
      <c r="AO42" s="25"/>
      <c r="AS42" s="25"/>
      <c r="BB42" s="52">
        <f t="shared" si="24"/>
        <v>176.66918519041818</v>
      </c>
      <c r="BC42" s="52">
        <f t="shared" si="24"/>
        <v>395.50617613899459</v>
      </c>
      <c r="BD42" s="52">
        <f t="shared" si="24"/>
        <v>831.4520908315618</v>
      </c>
      <c r="BE42" s="25"/>
      <c r="BF42" s="45">
        <f>BB42/'TA1'!AJ48</f>
        <v>3.2670001931279648E-2</v>
      </c>
      <c r="BG42" s="45">
        <f>BC42/'TA1'!AI48</f>
        <v>2.5048761732300022E-2</v>
      </c>
      <c r="BH42" s="45">
        <f>BD42/'TA1'!AG48</f>
        <v>1.7914962960908349E-2</v>
      </c>
    </row>
    <row r="43" spans="1:60">
      <c r="A43" s="39">
        <v>1955</v>
      </c>
      <c r="B43" s="26"/>
      <c r="C43" s="26"/>
      <c r="D43" s="26"/>
      <c r="E43" s="5"/>
      <c r="F43" s="57">
        <v>8.1221739883211441</v>
      </c>
      <c r="G43" s="10"/>
      <c r="H43" s="70">
        <v>0.72061163480499102</v>
      </c>
      <c r="I43" s="71">
        <v>2.4871088205796843</v>
      </c>
      <c r="J43" s="72">
        <v>9.1805282675712654</v>
      </c>
      <c r="K43" s="7"/>
      <c r="L43" s="21">
        <v>250047.26333479164</v>
      </c>
      <c r="M43" s="21">
        <f t="shared" si="19"/>
        <v>1801.8696721019828</v>
      </c>
      <c r="N43" s="21">
        <f t="shared" si="20"/>
        <v>6218.9475420177132</v>
      </c>
      <c r="O43" s="21">
        <f t="shared" si="21"/>
        <v>22955.659692738907</v>
      </c>
      <c r="P43" s="21"/>
      <c r="Q43" s="69">
        <v>65589.450007413092</v>
      </c>
      <c r="R43" s="8">
        <f t="shared" si="4"/>
        <v>6.5589450007413097</v>
      </c>
      <c r="S43" s="8">
        <f t="shared" si="5"/>
        <v>65.589450007413092</v>
      </c>
      <c r="T43" s="8">
        <f t="shared" si="15"/>
        <v>655.89450007413097</v>
      </c>
      <c r="V43" s="8"/>
      <c r="W43" s="8"/>
      <c r="X43" s="8"/>
      <c r="Z43" s="22"/>
      <c r="AA43" s="22"/>
      <c r="AB43" s="22"/>
      <c r="AC43" s="22"/>
      <c r="AD43" s="22"/>
      <c r="AE43" s="22"/>
      <c r="AF43" s="22"/>
      <c r="AG43" s="22"/>
      <c r="AH43" s="22"/>
      <c r="AI43" s="22"/>
      <c r="AJ43" s="22"/>
      <c r="AK43" s="25"/>
      <c r="AL43" s="25"/>
      <c r="AM43" s="25"/>
      <c r="AN43" s="25"/>
      <c r="AO43" s="25"/>
      <c r="AS43" s="25"/>
      <c r="BB43" s="51"/>
      <c r="BC43" s="51"/>
      <c r="BD43" s="51"/>
      <c r="BE43" s="25"/>
    </row>
    <row r="44" spans="1:60">
      <c r="A44" s="39">
        <v>1956</v>
      </c>
      <c r="B44" s="26">
        <v>0.12452054768800735</v>
      </c>
      <c r="C44" s="26">
        <v>7.5456604361534119E-2</v>
      </c>
      <c r="D44" s="26">
        <v>4.1787531226873398E-2</v>
      </c>
      <c r="E44" s="5"/>
      <c r="F44" s="57">
        <v>8.0024367796481055</v>
      </c>
      <c r="G44" s="10"/>
      <c r="H44" s="70">
        <v>0.68115311362396791</v>
      </c>
      <c r="I44" s="71">
        <v>2.3829153277974449</v>
      </c>
      <c r="J44" s="72">
        <v>9.0869757576587151</v>
      </c>
      <c r="K44" s="7"/>
      <c r="L44" s="21">
        <v>269693.19177813188</v>
      </c>
      <c r="M44" s="21">
        <f t="shared" si="19"/>
        <v>1837.0235730286045</v>
      </c>
      <c r="N44" s="21">
        <f t="shared" si="20"/>
        <v>6426.5604049072626</v>
      </c>
      <c r="O44" s="21">
        <f t="shared" si="21"/>
        <v>24506.954956934871</v>
      </c>
      <c r="P44" s="21"/>
      <c r="Q44" s="69">
        <v>66257.212286740687</v>
      </c>
      <c r="R44" s="8">
        <f t="shared" si="4"/>
        <v>6.6257212286740694</v>
      </c>
      <c r="S44" s="8">
        <f t="shared" si="5"/>
        <v>66.257212286740682</v>
      </c>
      <c r="T44" s="8">
        <f t="shared" si="15"/>
        <v>662.57212286740685</v>
      </c>
      <c r="V44" s="8">
        <f>B44*M44*$F44</f>
        <v>1830.5348579106844</v>
      </c>
      <c r="W44" s="8">
        <f>C44*N44*$F44</f>
        <v>3880.5930658741122</v>
      </c>
      <c r="X44" s="8">
        <f>D44*O44*$F44</f>
        <v>8195.17663414854</v>
      </c>
      <c r="Z44" s="22">
        <f>V44/R44*1000000/1000</f>
        <v>276277.07154184155</v>
      </c>
      <c r="AA44" s="22">
        <f>W44/S44*1000000/1000</f>
        <v>58568.613618697207</v>
      </c>
      <c r="AB44" s="22">
        <f>X44/T44*1000000/1000</f>
        <v>12368.731420033722</v>
      </c>
      <c r="AC44" s="22"/>
      <c r="AD44" s="22"/>
      <c r="AE44" s="22"/>
      <c r="AF44" s="22"/>
      <c r="AG44" s="22"/>
      <c r="AH44" s="22"/>
      <c r="AI44" s="22"/>
      <c r="AJ44" s="22"/>
      <c r="AK44" s="25"/>
      <c r="AL44" s="25"/>
      <c r="AM44" s="25"/>
      <c r="AN44" s="25"/>
      <c r="AO44" s="25"/>
      <c r="AS44" s="25"/>
      <c r="BB44" s="52">
        <f>V44/$F44</f>
        <v>228.747181429302</v>
      </c>
      <c r="BC44" s="52">
        <f>W44/$F44</f>
        <v>484.92642587858785</v>
      </c>
      <c r="BD44" s="52">
        <f>X44/$F44</f>
        <v>1024.0851455384957</v>
      </c>
      <c r="BE44" s="25"/>
      <c r="BF44" s="45">
        <f>BB44/'TA1'!AJ50</f>
        <v>3.4314850866706305E-2</v>
      </c>
      <c r="BG44" s="45">
        <f>BC44/'TA1'!AI50</f>
        <v>2.5979495969161371E-2</v>
      </c>
      <c r="BH44" s="45">
        <f>BD44/'TA1'!AG50</f>
        <v>1.9096514916358647E-2</v>
      </c>
    </row>
    <row r="45" spans="1:60">
      <c r="A45" s="39">
        <v>1957</v>
      </c>
      <c r="B45" s="26"/>
      <c r="C45" s="26"/>
      <c r="D45" s="26"/>
      <c r="E45" s="5"/>
      <c r="F45" s="57">
        <v>7.7271453601821571</v>
      </c>
      <c r="G45" s="10"/>
      <c r="H45" s="70">
        <v>0.6630805224142543</v>
      </c>
      <c r="I45" s="71">
        <v>2.359138502575385</v>
      </c>
      <c r="J45" s="72">
        <v>8.9818851566021518</v>
      </c>
      <c r="K45" s="7"/>
      <c r="L45" s="21">
        <v>283500.41372308478</v>
      </c>
      <c r="M45" s="21">
        <f t="shared" si="19"/>
        <v>1879.836024361603</v>
      </c>
      <c r="N45" s="21">
        <f t="shared" si="20"/>
        <v>6688.1674151018042</v>
      </c>
      <c r="O45" s="21">
        <f t="shared" si="21"/>
        <v>25463.681579099441</v>
      </c>
      <c r="P45" s="21"/>
      <c r="Q45" s="69">
        <v>66947.445008315946</v>
      </c>
      <c r="R45" s="8">
        <f t="shared" si="4"/>
        <v>6.6947445008315949</v>
      </c>
      <c r="S45" s="8">
        <f t="shared" si="5"/>
        <v>66.947445008315952</v>
      </c>
      <c r="T45" s="8">
        <f t="shared" si="15"/>
        <v>669.47445008315947</v>
      </c>
      <c r="V45" s="8"/>
      <c r="W45" s="8"/>
      <c r="X45" s="8"/>
      <c r="Z45" s="22"/>
      <c r="AA45" s="22"/>
      <c r="AB45" s="22"/>
      <c r="AC45" s="22"/>
      <c r="AD45" s="22"/>
      <c r="AE45" s="22"/>
      <c r="AF45" s="22"/>
      <c r="AG45" s="22"/>
      <c r="AH45" s="22"/>
      <c r="AI45" s="22"/>
      <c r="AJ45" s="22"/>
      <c r="AK45" s="25"/>
      <c r="AL45" s="25"/>
      <c r="AM45" s="25"/>
      <c r="AN45" s="25"/>
      <c r="AO45" s="25"/>
      <c r="AS45" s="25"/>
      <c r="BB45" s="51"/>
      <c r="BC45" s="51"/>
      <c r="BD45" s="51"/>
      <c r="BE45" s="25"/>
    </row>
    <row r="46" spans="1:60">
      <c r="A46" s="39">
        <v>1958</v>
      </c>
      <c r="B46" s="26">
        <v>0.14411710202693939</v>
      </c>
      <c r="C46" s="26">
        <v>8.3933621644973755E-2</v>
      </c>
      <c r="D46" s="26">
        <v>4.5466136187314987E-2</v>
      </c>
      <c r="E46" s="5"/>
      <c r="F46" s="57">
        <v>7.5219209453043394</v>
      </c>
      <c r="G46" s="10"/>
      <c r="H46" s="70">
        <v>0.64243772482167971</v>
      </c>
      <c r="I46" s="71">
        <v>2.2927344493339672</v>
      </c>
      <c r="J46" s="72">
        <v>8.8335735001955893</v>
      </c>
      <c r="K46" s="7"/>
      <c r="L46" s="21">
        <v>284837.65621132893</v>
      </c>
      <c r="M46" s="21">
        <f t="shared" si="19"/>
        <v>1829.9045579994595</v>
      </c>
      <c r="N46" s="21">
        <f t="shared" si="20"/>
        <v>6530.5710686325911</v>
      </c>
      <c r="O46" s="21">
        <f t="shared" si="21"/>
        <v>25161.343717662166</v>
      </c>
      <c r="P46" s="21"/>
      <c r="Q46" s="69">
        <v>67546.014388339216</v>
      </c>
      <c r="R46" s="8">
        <f t="shared" si="4"/>
        <v>6.7546014388339222</v>
      </c>
      <c r="S46" s="8">
        <f t="shared" si="5"/>
        <v>67.546014388339216</v>
      </c>
      <c r="T46" s="8">
        <f t="shared" si="15"/>
        <v>675.46014388339222</v>
      </c>
      <c r="V46" s="8">
        <f>B46*M46*$F46</f>
        <v>1983.6850677100583</v>
      </c>
      <c r="W46" s="8">
        <f>C46*N46*$F46</f>
        <v>4123.0242349834616</v>
      </c>
      <c r="X46" s="8">
        <f>D46*O46*$F46</f>
        <v>8604.9954229771665</v>
      </c>
      <c r="Z46" s="22">
        <f>V46/R46*1000000/1000</f>
        <v>293679.06984198181</v>
      </c>
      <c r="AA46" s="22">
        <f>W46/S46*1000000/1000</f>
        <v>61040.229720722629</v>
      </c>
      <c r="AB46" s="22">
        <f>X46/T46*1000000/1000</f>
        <v>12739.45694782946</v>
      </c>
      <c r="AC46" s="22"/>
      <c r="AD46" s="22"/>
      <c r="AE46" s="22"/>
      <c r="AF46" s="22"/>
      <c r="AG46" s="22"/>
      <c r="AH46" s="22"/>
      <c r="AI46" s="22"/>
      <c r="AJ46" s="22"/>
      <c r="AK46" s="25"/>
      <c r="AL46" s="25"/>
      <c r="AM46" s="25"/>
      <c r="AN46" s="25"/>
      <c r="AO46" s="25"/>
      <c r="AS46" s="25"/>
      <c r="BB46" s="52">
        <f>V46/$F46</f>
        <v>263.72054188476955</v>
      </c>
      <c r="BC46" s="52">
        <f>W46/$F46</f>
        <v>548.13448120021985</v>
      </c>
      <c r="BD46" s="52">
        <f>X46/$F46</f>
        <v>1143.9890801230704</v>
      </c>
      <c r="BE46" s="25"/>
      <c r="BF46" s="45">
        <f>BB46/'TA1'!AJ52</f>
        <v>4.433842998158849E-2</v>
      </c>
      <c r="BG46" s="45">
        <f>BC46/'TA1'!AI52</f>
        <v>3.156263032808701E-2</v>
      </c>
      <c r="BH46" s="45">
        <f>BD46/'TA1'!AG52</f>
        <v>2.1778126344614068E-2</v>
      </c>
    </row>
    <row r="47" spans="1:60">
      <c r="A47" s="39">
        <v>1959</v>
      </c>
      <c r="B47" s="26"/>
      <c r="C47" s="26"/>
      <c r="D47" s="26"/>
      <c r="E47" s="5"/>
      <c r="F47" s="57">
        <v>7.4702238941338619</v>
      </c>
      <c r="G47" s="10"/>
      <c r="H47" s="70">
        <v>0.61617667725255265</v>
      </c>
      <c r="I47" s="71">
        <v>2.1912719299930639</v>
      </c>
      <c r="J47" s="72">
        <v>8.7478520785266909</v>
      </c>
      <c r="K47" s="7"/>
      <c r="L47" s="21">
        <v>306744.52996564389</v>
      </c>
      <c r="M47" s="21">
        <f t="shared" si="19"/>
        <v>1890.0882523962653</v>
      </c>
      <c r="N47" s="21">
        <f t="shared" si="20"/>
        <v>6721.6067819263171</v>
      </c>
      <c r="O47" s="21">
        <f t="shared" si="21"/>
        <v>26833.557740366505</v>
      </c>
      <c r="P47" s="21"/>
      <c r="Q47" s="69">
        <v>68143.847453790891</v>
      </c>
      <c r="R47" s="8">
        <f t="shared" si="4"/>
        <v>6.8143847453790896</v>
      </c>
      <c r="S47" s="8">
        <f t="shared" si="5"/>
        <v>68.143847453790897</v>
      </c>
      <c r="T47" s="8">
        <f t="shared" si="15"/>
        <v>681.43847453790897</v>
      </c>
      <c r="V47" s="8"/>
      <c r="W47" s="8"/>
      <c r="X47" s="8"/>
      <c r="Z47" s="22"/>
      <c r="AA47" s="22"/>
      <c r="AB47" s="22"/>
      <c r="AC47" s="22"/>
      <c r="AD47" s="22"/>
      <c r="AE47" s="22"/>
      <c r="AF47" s="22"/>
      <c r="AG47" s="24"/>
      <c r="AH47" s="24"/>
      <c r="AI47" s="24"/>
      <c r="AJ47" s="24"/>
      <c r="AK47" s="25"/>
      <c r="AL47" s="25"/>
      <c r="AM47" s="25"/>
      <c r="AN47" s="25"/>
      <c r="AO47" s="25"/>
      <c r="AS47" s="25"/>
      <c r="BB47" s="25"/>
      <c r="BC47" s="25"/>
      <c r="BD47" s="25"/>
      <c r="BE47" s="25"/>
    </row>
    <row r="48" spans="1:60" s="20" customFormat="1">
      <c r="A48" s="15">
        <v>1960</v>
      </c>
      <c r="B48" s="45">
        <v>0.18370258808135986</v>
      </c>
      <c r="C48" s="45">
        <v>8.6391858756542206E-2</v>
      </c>
      <c r="D48" s="45">
        <v>4.7370236366987228E-2</v>
      </c>
      <c r="E48" s="16"/>
      <c r="F48" s="100">
        <v>7.3440376797059246</v>
      </c>
      <c r="G48" s="17"/>
      <c r="H48" s="101">
        <v>0.59637321869406112</v>
      </c>
      <c r="I48" s="101">
        <v>2.0964547826658073</v>
      </c>
      <c r="J48" s="101">
        <v>8.3565900921357628</v>
      </c>
      <c r="K48" s="18"/>
      <c r="L48" s="23">
        <v>318030.13520679035</v>
      </c>
      <c r="M48" s="23">
        <f t="shared" si="19"/>
        <v>1896.64655374981</v>
      </c>
      <c r="N48" s="23">
        <f t="shared" si="20"/>
        <v>6667.3579798612891</v>
      </c>
      <c r="O48" s="23">
        <f t="shared" si="21"/>
        <v>26576.474768696615</v>
      </c>
      <c r="P48" s="23"/>
      <c r="Q48" s="102">
        <v>68681</v>
      </c>
      <c r="R48" s="19">
        <f t="shared" si="4"/>
        <v>6.8681000000000001</v>
      </c>
      <c r="S48" s="19">
        <f t="shared" si="5"/>
        <v>68.680999999999997</v>
      </c>
      <c r="T48" s="19">
        <f t="shared" si="15"/>
        <v>686.81000000000006</v>
      </c>
      <c r="V48" s="19">
        <f>B48*M48*$F48</f>
        <v>2558.801387443189</v>
      </c>
      <c r="W48" s="19">
        <f>C48*N48*$F48</f>
        <v>4230.2057202574579</v>
      </c>
      <c r="X48" s="19">
        <f>D48*O48*$F48</f>
        <v>9245.6579361283148</v>
      </c>
      <c r="Z48" s="24">
        <f>V48/R48*1000000/1000</f>
        <v>372563.21070502599</v>
      </c>
      <c r="AA48" s="24">
        <f>W48/S48*1000000/1000</f>
        <v>61592.081074204776</v>
      </c>
      <c r="AB48" s="24">
        <f>X48/T48*1000000/1000</f>
        <v>13461.740417478362</v>
      </c>
      <c r="AC48" s="24"/>
      <c r="AD48" s="24">
        <v>2535.8183326440103</v>
      </c>
      <c r="AE48" s="24">
        <v>4609.9259417207813</v>
      </c>
      <c r="AF48" s="24">
        <v>9517.9891448300332</v>
      </c>
      <c r="AG48" s="24"/>
      <c r="AH48" s="24">
        <f>AD48/$R48*1000000/1000</f>
        <v>369216.86239920947</v>
      </c>
      <c r="AI48" s="24">
        <f>AE48/$S48*1000000/1000</f>
        <v>67120.833152120409</v>
      </c>
      <c r="AJ48" s="24">
        <f>AF48/$T48*1000000/1000</f>
        <v>13858.256497182674</v>
      </c>
      <c r="AK48" s="44"/>
      <c r="AL48" s="103">
        <v>321.88883605000001</v>
      </c>
      <c r="AM48" s="24">
        <v>594.39798283000005</v>
      </c>
      <c r="AN48" s="24">
        <v>1208.3688671800001</v>
      </c>
      <c r="AO48" s="44"/>
      <c r="AP48" s="45">
        <f>AL48/'TA1'!I54</f>
        <v>4.3927828069055E-2</v>
      </c>
      <c r="AQ48" s="45">
        <f>AM48/'TA1'!H54</f>
        <v>2.9031935689981025E-2</v>
      </c>
      <c r="AR48" s="45">
        <f>AN48/'TA1'!F54</f>
        <v>2.2048662014084688E-2</v>
      </c>
      <c r="AS48" s="44"/>
      <c r="AT48" s="103">
        <v>320.37403078</v>
      </c>
      <c r="AU48" s="24">
        <v>590.89312023000002</v>
      </c>
      <c r="AV48" s="24">
        <v>1206.41987199</v>
      </c>
      <c r="AW48" s="44"/>
      <c r="AX48" s="45">
        <f>AT48/'TA1'!Q54</f>
        <v>4.4813174396610256E-2</v>
      </c>
      <c r="AY48" s="45">
        <f>AU48/'TA1'!P54</f>
        <v>2.9530282911717654E-2</v>
      </c>
      <c r="AZ48" s="45">
        <f>AV48/'TA1'!N54</f>
        <v>2.2659723869316865E-2</v>
      </c>
      <c r="BB48" s="103">
        <v>331.08511805000001</v>
      </c>
      <c r="BC48" s="24">
        <v>599.99610688000007</v>
      </c>
      <c r="BD48" s="24">
        <v>1223.85948749</v>
      </c>
      <c r="BE48" s="44"/>
      <c r="BF48" s="45">
        <f>BB48/'TA1'!AJ54</f>
        <v>4.1725490349618033E-2</v>
      </c>
      <c r="BG48" s="45">
        <f>BC48/'TA1'!AI54</f>
        <v>2.8419387424692105E-2</v>
      </c>
      <c r="BH48" s="45">
        <f>BD48/'TA1'!AG54</f>
        <v>2.0275791683063597E-2</v>
      </c>
    </row>
    <row r="49" spans="1:60" s="20" customFormat="1">
      <c r="A49" s="15">
        <v>1961</v>
      </c>
      <c r="B49" s="45"/>
      <c r="C49" s="45"/>
      <c r="D49" s="45"/>
      <c r="E49" s="16"/>
      <c r="F49" s="100">
        <v>7.2703516829195811</v>
      </c>
      <c r="G49" s="17"/>
      <c r="H49" s="101">
        <v>0.58703756633715509</v>
      </c>
      <c r="I49" s="101">
        <v>2.0533998280690757</v>
      </c>
      <c r="J49" s="101">
        <v>8.3376005383909941</v>
      </c>
      <c r="K49" s="18"/>
      <c r="L49" s="23">
        <v>331239.30191560392</v>
      </c>
      <c r="M49" s="23">
        <f t="shared" si="19"/>
        <v>1944.4991367175428</v>
      </c>
      <c r="N49" s="23">
        <f t="shared" si="20"/>
        <v>6801.6672560322177</v>
      </c>
      <c r="O49" s="23">
        <f t="shared" si="21"/>
        <v>27617.409819877961</v>
      </c>
      <c r="P49" s="23"/>
      <c r="Q49" s="102">
        <v>69997.277539357485</v>
      </c>
      <c r="R49" s="19">
        <f t="shared" si="4"/>
        <v>6.9997277539357485</v>
      </c>
      <c r="S49" s="19">
        <f t="shared" si="5"/>
        <v>69.997277539357484</v>
      </c>
      <c r="T49" s="19">
        <f t="shared" si="15"/>
        <v>699.97277539357481</v>
      </c>
      <c r="V49" s="19"/>
      <c r="W49" s="19"/>
      <c r="X49" s="19"/>
      <c r="Z49" s="24"/>
      <c r="AA49" s="24"/>
      <c r="AB49" s="24"/>
      <c r="AC49" s="24"/>
      <c r="AD49" s="24"/>
      <c r="AE49" s="24"/>
      <c r="AF49" s="24"/>
      <c r="AG49" s="24"/>
      <c r="AH49" s="24"/>
      <c r="AI49" s="24"/>
      <c r="AJ49" s="24"/>
      <c r="AK49" s="44"/>
      <c r="AL49" s="103"/>
      <c r="AM49" s="24"/>
      <c r="AN49" s="24"/>
      <c r="AO49" s="44"/>
      <c r="AP49" s="17"/>
      <c r="AQ49" s="17"/>
      <c r="AR49" s="17"/>
      <c r="AS49" s="44"/>
      <c r="AT49" s="103"/>
      <c r="AU49" s="24"/>
      <c r="AV49" s="24"/>
      <c r="AW49" s="44"/>
      <c r="AX49" s="45"/>
      <c r="AY49" s="45"/>
      <c r="AZ49" s="45"/>
      <c r="BB49" s="103"/>
      <c r="BC49" s="24"/>
      <c r="BD49" s="24"/>
      <c r="BE49" s="44"/>
      <c r="BF49" s="17"/>
      <c r="BG49" s="17"/>
      <c r="BH49" s="17"/>
    </row>
    <row r="50" spans="1:60" s="20" customFormat="1">
      <c r="A50" s="15">
        <v>1962</v>
      </c>
      <c r="B50" s="45">
        <v>0.19173590838909149</v>
      </c>
      <c r="C50" s="45">
        <v>9.4576247036457062E-2</v>
      </c>
      <c r="D50" s="45">
        <v>4.8855077475309372E-2</v>
      </c>
      <c r="E50" s="16"/>
      <c r="F50" s="100">
        <v>7.1981296463342845</v>
      </c>
      <c r="G50" s="17"/>
      <c r="H50" s="101">
        <v>0.56162058072998455</v>
      </c>
      <c r="I50" s="101">
        <v>1.9841173530430867</v>
      </c>
      <c r="J50" s="101">
        <v>8.2736755670745552</v>
      </c>
      <c r="K50" s="18"/>
      <c r="L50" s="23">
        <v>353004.52743343828</v>
      </c>
      <c r="M50" s="23">
        <f t="shared" si="19"/>
        <v>1982.5460769748138</v>
      </c>
      <c r="N50" s="23">
        <f t="shared" si="20"/>
        <v>7004.0240858345924</v>
      </c>
      <c r="O50" s="23">
        <f t="shared" si="21"/>
        <v>29206.449336927381</v>
      </c>
      <c r="P50" s="23"/>
      <c r="Q50" s="102">
        <v>71254.48789333165</v>
      </c>
      <c r="R50" s="19">
        <f t="shared" si="4"/>
        <v>7.1254487893331655</v>
      </c>
      <c r="S50" s="19">
        <f t="shared" si="5"/>
        <v>71.254487893331657</v>
      </c>
      <c r="T50" s="19">
        <f t="shared" si="15"/>
        <v>712.54487893331657</v>
      </c>
      <c r="V50" s="19">
        <f>B50*M50*$F50</f>
        <v>2736.1909968445971</v>
      </c>
      <c r="W50" s="19">
        <f>C50*N50*$F50</f>
        <v>4768.1440987395226</v>
      </c>
      <c r="X50" s="19">
        <f>D50*O50*$F50</f>
        <v>10270.891308471733</v>
      </c>
      <c r="Z50" s="24">
        <f>V50/R50*1000000/1000</f>
        <v>384002.61902670463</v>
      </c>
      <c r="AA50" s="24">
        <f>W50/S50*1000000/1000</f>
        <v>66917.105710975855</v>
      </c>
      <c r="AB50" s="24">
        <f>X50/T50*1000000/1000</f>
        <v>14414.378114466714</v>
      </c>
      <c r="AC50" s="24"/>
      <c r="AD50" s="24">
        <v>2700.0586174978057</v>
      </c>
      <c r="AE50" s="24">
        <v>4946.4084520879796</v>
      </c>
      <c r="AF50" s="24">
        <v>10244.747783840023</v>
      </c>
      <c r="AG50" s="24"/>
      <c r="AH50" s="24">
        <f t="shared" ref="AH50:AH98" si="25">AD50/$R50*1000000/1000</f>
        <v>378931.72729552246</v>
      </c>
      <c r="AI50" s="24">
        <f>AE50/$S50*1000000/1000</f>
        <v>69418.903964235607</v>
      </c>
      <c r="AJ50" s="24">
        <f>AF50/$T50*1000000/1000</f>
        <v>14377.687759368173</v>
      </c>
      <c r="AK50" s="44"/>
      <c r="AL50" s="103">
        <v>360.06763333999999</v>
      </c>
      <c r="AM50" s="24">
        <v>688.31808926999997</v>
      </c>
      <c r="AN50" s="24">
        <v>1368.9923960399999</v>
      </c>
      <c r="AO50" s="44"/>
      <c r="AP50" s="45">
        <f>AL50/'TA1'!I56</f>
        <v>3.9854411789082791E-2</v>
      </c>
      <c r="AQ50" s="45">
        <f>AM50/'TA1'!H56</f>
        <v>2.9247812761671051E-2</v>
      </c>
      <c r="AR50" s="45">
        <f>AN50/'TA1'!F56</f>
        <v>2.2242561646135268E-2</v>
      </c>
      <c r="AS50" s="44"/>
      <c r="AT50" s="103">
        <v>355.24262365999999</v>
      </c>
      <c r="AU50" s="24">
        <v>674.11280440999997</v>
      </c>
      <c r="AV50" s="24">
        <v>1351.58667982</v>
      </c>
      <c r="AW50" s="44"/>
      <c r="AX50" s="45">
        <f>AT50/'TA1'!Q56</f>
        <v>5.0563994323439831E-2</v>
      </c>
      <c r="AY50" s="45">
        <f>AU50/'TA1'!P56</f>
        <v>3.6769169013645492E-2</v>
      </c>
      <c r="AZ50" s="45">
        <f>AV50/'TA1'!N56</f>
        <v>2.7296389468303251E-2</v>
      </c>
      <c r="BB50" s="103">
        <v>359.56905899999998</v>
      </c>
      <c r="BC50" s="24">
        <v>651.78762602999996</v>
      </c>
      <c r="BD50" s="24">
        <v>1329.98499023</v>
      </c>
      <c r="BE50" s="44"/>
      <c r="BF50" s="45">
        <f>BB50/'TA1'!AJ56</f>
        <v>3.986715710484029E-2</v>
      </c>
      <c r="BG50" s="45">
        <f>BC50/'TA1'!AI56</f>
        <v>2.7511162441313085E-2</v>
      </c>
      <c r="BH50" s="45">
        <f>BD50/'TA1'!AG56</f>
        <v>1.9783930207367722E-2</v>
      </c>
    </row>
    <row r="51" spans="1:60" s="20" customFormat="1">
      <c r="A51" s="15">
        <v>1963</v>
      </c>
      <c r="B51" s="45"/>
      <c r="C51" s="45"/>
      <c r="D51" s="45"/>
      <c r="E51" s="16"/>
      <c r="F51" s="100">
        <v>7.1040364483429865</v>
      </c>
      <c r="G51" s="17"/>
      <c r="H51" s="101">
        <v>0.56800334450204049</v>
      </c>
      <c r="I51" s="101">
        <v>1.9635566991754505</v>
      </c>
      <c r="J51" s="101">
        <v>8.1639366576136148</v>
      </c>
      <c r="K51" s="18"/>
      <c r="L51" s="23">
        <v>372880.64844866132</v>
      </c>
      <c r="M51" s="23">
        <f t="shared" si="19"/>
        <v>2117.9745541892921</v>
      </c>
      <c r="N51" s="23">
        <f t="shared" si="20"/>
        <v>7321.7229525425491</v>
      </c>
      <c r="O51" s="23">
        <f t="shared" si="21"/>
        <v>30441.739947847611</v>
      </c>
      <c r="P51" s="23"/>
      <c r="Q51" s="102">
        <v>72464.471041222045</v>
      </c>
      <c r="R51" s="19">
        <f t="shared" si="4"/>
        <v>7.2464471041222049</v>
      </c>
      <c r="S51" s="19">
        <f t="shared" si="5"/>
        <v>72.464471041222041</v>
      </c>
      <c r="T51" s="19">
        <f t="shared" si="15"/>
        <v>724.64471041222043</v>
      </c>
      <c r="V51" s="19"/>
      <c r="W51" s="19"/>
      <c r="X51" s="19"/>
      <c r="Z51" s="24"/>
      <c r="AA51" s="24"/>
      <c r="AB51" s="24"/>
      <c r="AC51" s="24"/>
      <c r="AD51" s="24"/>
      <c r="AE51" s="24"/>
      <c r="AF51" s="24"/>
      <c r="AG51" s="24"/>
      <c r="AH51" s="24"/>
      <c r="AI51" s="24"/>
      <c r="AJ51" s="24"/>
      <c r="AK51" s="44"/>
      <c r="AL51" s="103"/>
      <c r="AM51" s="24"/>
      <c r="AN51" s="24"/>
      <c r="AO51" s="44"/>
      <c r="AP51" s="17"/>
      <c r="AQ51" s="17"/>
      <c r="AR51" s="17"/>
      <c r="AS51" s="44"/>
      <c r="AT51" s="103"/>
      <c r="AU51" s="24"/>
      <c r="AV51" s="24"/>
      <c r="AW51" s="44"/>
      <c r="AX51" s="45"/>
      <c r="AY51" s="45"/>
      <c r="AZ51" s="45"/>
      <c r="BB51" s="103"/>
      <c r="BC51" s="24"/>
      <c r="BD51" s="24"/>
      <c r="BE51" s="44"/>
      <c r="BF51" s="17"/>
      <c r="BG51" s="17"/>
      <c r="BH51" s="17"/>
    </row>
    <row r="52" spans="1:60" s="20" customFormat="1">
      <c r="A52" s="15">
        <v>1964</v>
      </c>
      <c r="B52" s="45">
        <v>0.19323407113552094</v>
      </c>
      <c r="C52" s="45">
        <v>9.6557281911373138E-2</v>
      </c>
      <c r="D52" s="45">
        <v>4.8832833766937256E-2</v>
      </c>
      <c r="E52" s="16"/>
      <c r="F52" s="100">
        <v>7.0123714619127551</v>
      </c>
      <c r="G52" s="17"/>
      <c r="H52" s="101">
        <v>0.5312891155561037</v>
      </c>
      <c r="I52" s="101">
        <v>1.9689860769877994</v>
      </c>
      <c r="J52" s="101">
        <v>8.0207510462667724</v>
      </c>
      <c r="K52" s="18"/>
      <c r="L52" s="23">
        <v>402491.46074611519</v>
      </c>
      <c r="M52" s="23">
        <f t="shared" si="19"/>
        <v>2138.3933219868777</v>
      </c>
      <c r="N52" s="23">
        <f t="shared" si="20"/>
        <v>7925.0008231558222</v>
      </c>
      <c r="O52" s="23">
        <f t="shared" si="21"/>
        <v>32282.83804892845</v>
      </c>
      <c r="P52" s="23"/>
      <c r="Q52" s="102">
        <v>73659.622212014569</v>
      </c>
      <c r="R52" s="19">
        <f t="shared" si="4"/>
        <v>7.3659622212014568</v>
      </c>
      <c r="S52" s="19">
        <f t="shared" si="5"/>
        <v>73.659622212014568</v>
      </c>
      <c r="T52" s="19">
        <f t="shared" si="15"/>
        <v>736.59622212014574</v>
      </c>
      <c r="V52" s="19">
        <f>B52*M52*$F52</f>
        <v>2897.5851483864285</v>
      </c>
      <c r="W52" s="19">
        <f>C52*N52*$F52</f>
        <v>5365.9826176679089</v>
      </c>
      <c r="X52" s="19">
        <f>D52*O52*$F52</f>
        <v>11054.740393107832</v>
      </c>
      <c r="Z52" s="24">
        <f>V52/R52*1000000/1000</f>
        <v>393374.96736628737</v>
      </c>
      <c r="AA52" s="24">
        <f>W52/S52*1000000/1000</f>
        <v>72848.359203132975</v>
      </c>
      <c r="AB52" s="24">
        <f>X52/T52*1000000/1000</f>
        <v>15007.87006657319</v>
      </c>
      <c r="AC52" s="24"/>
      <c r="AD52" s="24">
        <v>3052.884876321265</v>
      </c>
      <c r="AE52" s="24">
        <v>5509.4126353306074</v>
      </c>
      <c r="AF52" s="24">
        <v>11103.989603445483</v>
      </c>
      <c r="AG52" s="24"/>
      <c r="AH52" s="24">
        <f t="shared" si="25"/>
        <v>414458.39452368399</v>
      </c>
      <c r="AI52" s="24">
        <f>AE52/$S52*1000000/1000</f>
        <v>74795.559220665833</v>
      </c>
      <c r="AJ52" s="24">
        <f>AF52/$T52*1000000/1000</f>
        <v>15074.730591863285</v>
      </c>
      <c r="AK52" s="44"/>
      <c r="AL52" s="103">
        <v>432.34560399999998</v>
      </c>
      <c r="AM52" s="24">
        <v>794.11532</v>
      </c>
      <c r="AN52" s="24">
        <v>1521.9421900000002</v>
      </c>
      <c r="AO52" s="44"/>
      <c r="AP52" s="45">
        <f>AL52/'TA1'!I58</f>
        <v>4.1853132840573161E-2</v>
      </c>
      <c r="AQ52" s="45">
        <f>AM52/'TA1'!H58</f>
        <v>2.8729002179102122E-2</v>
      </c>
      <c r="AR52" s="45">
        <f>AN52/'TA1'!F58</f>
        <v>2.1507544928402896E-2</v>
      </c>
      <c r="AS52" s="44"/>
      <c r="AT52" s="103">
        <v>410.88691399999999</v>
      </c>
      <c r="AU52" s="24">
        <v>798.27371599999992</v>
      </c>
      <c r="AV52" s="24">
        <v>1513.7165640000001</v>
      </c>
      <c r="AW52" s="44"/>
      <c r="AX52" s="45">
        <f>AT52/'TA1'!Q58</f>
        <v>5.4913067450423951E-2</v>
      </c>
      <c r="AY52" s="45">
        <f>AU52/'TA1'!P58</f>
        <v>3.7954041471431929E-2</v>
      </c>
      <c r="AZ52" s="45">
        <f>AV52/'TA1'!N58</f>
        <v>2.7100166134414762E-2</v>
      </c>
      <c r="BB52" s="103">
        <v>418.02739300000002</v>
      </c>
      <c r="BC52" s="24">
        <v>748.43361000000004</v>
      </c>
      <c r="BD52" s="24">
        <v>1481.936672</v>
      </c>
      <c r="BE52" s="44"/>
      <c r="BF52" s="45">
        <f>BB52/'TA1'!AJ58</f>
        <v>3.7480026206148293E-2</v>
      </c>
      <c r="BG52" s="45">
        <f>BC52/'TA1'!AI58</f>
        <v>2.6240824230307831E-2</v>
      </c>
      <c r="BH52" s="45">
        <f>BD52/'TA1'!AG58</f>
        <v>1.8880491399982602E-2</v>
      </c>
    </row>
    <row r="53" spans="1:60" s="20" customFormat="1">
      <c r="A53" s="15">
        <v>1965</v>
      </c>
      <c r="B53" s="45"/>
      <c r="C53" s="45"/>
      <c r="D53" s="45"/>
      <c r="E53" s="16"/>
      <c r="F53" s="100">
        <v>6.9010639783903303</v>
      </c>
      <c r="G53" s="17"/>
      <c r="H53" s="101">
        <v>0.53786651727255919</v>
      </c>
      <c r="I53" s="101">
        <v>2.037189251925728</v>
      </c>
      <c r="J53" s="101">
        <v>8.065064694401487</v>
      </c>
      <c r="K53" s="18"/>
      <c r="L53" s="23">
        <v>432178.62721131073</v>
      </c>
      <c r="M53" s="23">
        <f t="shared" si="19"/>
        <v>2324.544130577834</v>
      </c>
      <c r="N53" s="23">
        <f t="shared" si="20"/>
        <v>8804.2965426689825</v>
      </c>
      <c r="O53" s="23">
        <f t="shared" si="21"/>
        <v>34855.485879968437</v>
      </c>
      <c r="P53" s="23"/>
      <c r="Q53" s="102">
        <v>74772.263448492304</v>
      </c>
      <c r="R53" s="19">
        <f t="shared" si="4"/>
        <v>7.4772263448492309</v>
      </c>
      <c r="S53" s="19">
        <f t="shared" si="5"/>
        <v>74.772263448492311</v>
      </c>
      <c r="T53" s="19">
        <f t="shared" si="15"/>
        <v>747.72263448492311</v>
      </c>
      <c r="V53" s="19"/>
      <c r="W53" s="19"/>
      <c r="X53" s="19"/>
      <c r="Z53" s="24"/>
      <c r="AA53" s="24"/>
      <c r="AB53" s="24"/>
      <c r="AC53" s="24"/>
      <c r="AD53" s="24"/>
      <c r="AE53" s="24"/>
      <c r="AF53" s="24"/>
      <c r="AG53" s="24"/>
      <c r="AH53" s="24"/>
      <c r="AI53" s="24"/>
      <c r="AJ53" s="24"/>
      <c r="AK53" s="44"/>
      <c r="AL53" s="103"/>
      <c r="AM53" s="24"/>
      <c r="AN53" s="24"/>
      <c r="AO53" s="44"/>
      <c r="AP53" s="17"/>
      <c r="AQ53" s="17"/>
      <c r="AR53" s="17"/>
      <c r="AS53" s="44"/>
      <c r="AT53" s="103"/>
      <c r="AU53" s="24"/>
      <c r="AV53" s="24"/>
      <c r="AW53" s="44"/>
      <c r="AX53" s="45"/>
      <c r="AY53" s="45"/>
      <c r="AZ53" s="45"/>
      <c r="BB53" s="103"/>
      <c r="BC53" s="24"/>
      <c r="BD53" s="24"/>
      <c r="BE53" s="44"/>
      <c r="BF53" s="17"/>
      <c r="BG53" s="17"/>
      <c r="BH53" s="17"/>
    </row>
    <row r="54" spans="1:60" s="20" customFormat="1">
      <c r="A54" s="15">
        <v>1966</v>
      </c>
      <c r="B54" s="45">
        <v>0.16771937906742096</v>
      </c>
      <c r="C54" s="45">
        <v>8.5845321416854858E-2</v>
      </c>
      <c r="D54" s="45">
        <v>4.451354593038559E-2</v>
      </c>
      <c r="E54" s="16"/>
      <c r="F54" s="100">
        <v>6.7093677567683763</v>
      </c>
      <c r="G54" s="17"/>
      <c r="H54" s="101">
        <v>0.60294666862191093</v>
      </c>
      <c r="I54" s="101">
        <v>2.1541736520115298</v>
      </c>
      <c r="J54" s="101">
        <v>8.3681843007293182</v>
      </c>
      <c r="K54" s="18"/>
      <c r="L54" s="23">
        <v>470773.91622465447</v>
      </c>
      <c r="M54" s="23">
        <f t="shared" si="19"/>
        <v>2838.5156446174601</v>
      </c>
      <c r="N54" s="23">
        <f t="shared" si="20"/>
        <v>10141.287663854338</v>
      </c>
      <c r="O54" s="23">
        <f t="shared" si="21"/>
        <v>39395.228949440127</v>
      </c>
      <c r="P54" s="23"/>
      <c r="Q54" s="102">
        <v>75831.168722140283</v>
      </c>
      <c r="R54" s="19">
        <f t="shared" si="4"/>
        <v>7.5831168722140285</v>
      </c>
      <c r="S54" s="19">
        <f t="shared" si="5"/>
        <v>75.831168722140291</v>
      </c>
      <c r="T54" s="19">
        <f t="shared" si="15"/>
        <v>758.31168722140285</v>
      </c>
      <c r="V54" s="19">
        <f>B54*M54*$F54</f>
        <v>3194.1560915004584</v>
      </c>
      <c r="W54" s="19">
        <f>C54*N54*$F54</f>
        <v>5841.0554652163428</v>
      </c>
      <c r="X54" s="19">
        <f>D54*O54*$F54</f>
        <v>11765.69043108302</v>
      </c>
      <c r="Z54" s="24">
        <f>V54/R54*1000000/1000</f>
        <v>421219.42010473943</v>
      </c>
      <c r="AA54" s="24">
        <f>W54/S54*1000000/1000</f>
        <v>77027.105920245958</v>
      </c>
      <c r="AB54" s="24">
        <f>X54/T54*1000000/1000</f>
        <v>15515.639056276093</v>
      </c>
      <c r="AC54" s="24"/>
      <c r="AD54" s="24">
        <v>3162.1263522197519</v>
      </c>
      <c r="AE54" s="24">
        <v>5789.5883101023519</v>
      </c>
      <c r="AF54" s="24">
        <v>11693.815491062682</v>
      </c>
      <c r="AG54" s="24"/>
      <c r="AH54" s="24">
        <f t="shared" si="25"/>
        <v>416995.59765541524</v>
      </c>
      <c r="AI54" s="24">
        <f>AE54/$S54*1000000/1000</f>
        <v>76348.398787265105</v>
      </c>
      <c r="AJ54" s="24">
        <f>AF54/$T54*1000000/1000</f>
        <v>15420.856210077718</v>
      </c>
      <c r="AK54" s="44"/>
      <c r="AL54" s="103">
        <v>483.91308015999999</v>
      </c>
      <c r="AM54" s="24">
        <v>884.40643297999998</v>
      </c>
      <c r="AN54" s="24">
        <v>1667.6478561399999</v>
      </c>
      <c r="AO54" s="44"/>
      <c r="AP54" s="45">
        <f>AL54/'TA1'!I60</f>
        <v>3.8458435008228403E-2</v>
      </c>
      <c r="AQ54" s="45">
        <f>AM54/'TA1'!H60</f>
        <v>2.6770020477460774E-2</v>
      </c>
      <c r="AR54" s="45">
        <f>AN54/'TA1'!F60</f>
        <v>1.9400401882950669E-2</v>
      </c>
      <c r="AS54" s="44"/>
      <c r="AT54" s="103">
        <v>477.37393415999998</v>
      </c>
      <c r="AU54" s="24">
        <v>867.43457225999998</v>
      </c>
      <c r="AV54" s="24">
        <v>1656.22653838</v>
      </c>
      <c r="AW54" s="44"/>
      <c r="AX54" s="45">
        <f>AT54/'TA1'!Q60</f>
        <v>4.8042277389311883E-2</v>
      </c>
      <c r="AY54" s="45">
        <f>AU54/'TA1'!P60</f>
        <v>3.276782982326467E-2</v>
      </c>
      <c r="AZ54" s="45">
        <f>AV54/'TA1'!N60</f>
        <v>2.3635149870756652E-2</v>
      </c>
      <c r="BB54" s="103">
        <v>453.53530799999999</v>
      </c>
      <c r="BC54" s="24">
        <v>814.83339432000002</v>
      </c>
      <c r="BD54" s="24">
        <v>1625.6646334300001</v>
      </c>
      <c r="BE54" s="44"/>
      <c r="BF54" s="45">
        <f>BB54/'TA1'!AJ60</f>
        <v>3.5185497790277007E-2</v>
      </c>
      <c r="BG54" s="45">
        <f>BC54/'TA1'!AI60</f>
        <v>2.449785213428312E-2</v>
      </c>
      <c r="BH54" s="45">
        <f>BD54/'TA1'!AG60</f>
        <v>1.7885839754478262E-2</v>
      </c>
    </row>
    <row r="55" spans="1:60" s="20" customFormat="1">
      <c r="A55" s="15">
        <v>1967</v>
      </c>
      <c r="B55" s="45"/>
      <c r="C55" s="45"/>
      <c r="D55" s="45"/>
      <c r="E55" s="16"/>
      <c r="F55" s="100">
        <v>6.5084884826136342</v>
      </c>
      <c r="G55" s="17"/>
      <c r="H55" s="101">
        <v>0.5964716832179624</v>
      </c>
      <c r="I55" s="101">
        <v>2.1600022863991435</v>
      </c>
      <c r="J55" s="101">
        <v>8.4253319526665713</v>
      </c>
      <c r="K55" s="18"/>
      <c r="L55" s="23">
        <v>503805.17023668694</v>
      </c>
      <c r="M55" s="23">
        <f t="shared" si="19"/>
        <v>3005.055179049888</v>
      </c>
      <c r="N55" s="23">
        <f t="shared" si="20"/>
        <v>10882.203196109536</v>
      </c>
      <c r="O55" s="23">
        <f t="shared" si="21"/>
        <v>42447.257987137797</v>
      </c>
      <c r="P55" s="23"/>
      <c r="Q55" s="102">
        <v>76855.772597697025</v>
      </c>
      <c r="R55" s="19">
        <f t="shared" si="4"/>
        <v>7.685577259769703</v>
      </c>
      <c r="S55" s="19">
        <f t="shared" si="5"/>
        <v>76.855772597697026</v>
      </c>
      <c r="T55" s="19">
        <f t="shared" si="15"/>
        <v>768.55772597697023</v>
      </c>
      <c r="V55" s="19"/>
      <c r="W55" s="19"/>
      <c r="X55" s="19"/>
      <c r="Z55" s="24"/>
      <c r="AA55" s="24"/>
      <c r="AB55" s="24"/>
      <c r="AC55" s="24"/>
      <c r="AD55" s="24"/>
      <c r="AE55" s="24"/>
      <c r="AF55" s="24"/>
      <c r="AG55" s="24"/>
      <c r="AH55" s="24"/>
      <c r="AI55" s="24"/>
      <c r="AJ55" s="24"/>
      <c r="AK55" s="44"/>
      <c r="AL55" s="103"/>
      <c r="AM55" s="24"/>
      <c r="AN55" s="24"/>
      <c r="AO55" s="44"/>
      <c r="AP55" s="17"/>
      <c r="AQ55" s="17"/>
      <c r="AR55" s="17"/>
      <c r="AS55" s="44"/>
      <c r="AT55" s="103"/>
      <c r="AU55" s="24"/>
      <c r="AV55" s="24"/>
      <c r="AW55" s="44"/>
      <c r="AX55" s="45"/>
      <c r="AY55" s="45"/>
      <c r="AZ55" s="45"/>
      <c r="BB55" s="103"/>
      <c r="BC55" s="24"/>
      <c r="BD55" s="24"/>
      <c r="BE55" s="44"/>
      <c r="BF55" s="17"/>
      <c r="BG55" s="17"/>
      <c r="BH55" s="17"/>
    </row>
    <row r="56" spans="1:60" s="20" customFormat="1">
      <c r="A56" s="15">
        <v>1968</v>
      </c>
      <c r="B56" s="45">
        <v>0.19195100665092468</v>
      </c>
      <c r="C56" s="45">
        <v>9.91983562707901E-2</v>
      </c>
      <c r="D56" s="45">
        <v>5.0672240555286407E-2</v>
      </c>
      <c r="E56" s="16"/>
      <c r="F56" s="100">
        <v>6.2466527390602131</v>
      </c>
      <c r="G56" s="17"/>
      <c r="H56" s="101">
        <v>0.58157218198253746</v>
      </c>
      <c r="I56" s="101">
        <v>2.1454516744584877</v>
      </c>
      <c r="J56" s="101">
        <v>8.3519414859066643</v>
      </c>
      <c r="K56" s="18"/>
      <c r="L56" s="23">
        <v>548967.71586337092</v>
      </c>
      <c r="M56" s="23">
        <f t="shared" si="19"/>
        <v>3192.6435235263029</v>
      </c>
      <c r="N56" s="23">
        <f t="shared" si="20"/>
        <v>11777.837052227205</v>
      </c>
      <c r="O56" s="23">
        <f t="shared" si="21"/>
        <v>45849.462405427097</v>
      </c>
      <c r="P56" s="23"/>
      <c r="Q56" s="102">
        <v>77825.685517022051</v>
      </c>
      <c r="R56" s="19">
        <f t="shared" si="4"/>
        <v>7.7825685517022052</v>
      </c>
      <c r="S56" s="19">
        <f t="shared" si="5"/>
        <v>77.825685517022052</v>
      </c>
      <c r="T56" s="19">
        <f t="shared" si="15"/>
        <v>778.25685517022055</v>
      </c>
      <c r="V56" s="19">
        <f>B56*M56*$F56</f>
        <v>3828.1433081335376</v>
      </c>
      <c r="W56" s="19">
        <f>C56*N56*$F56</f>
        <v>7298.2272292430907</v>
      </c>
      <c r="X56" s="19">
        <f>D56*O56*$F56</f>
        <v>14512.817002548698</v>
      </c>
      <c r="Z56" s="24">
        <f>V56/R56*1000000/1000</f>
        <v>491886.87291373045</v>
      </c>
      <c r="AA56" s="24">
        <f>W56/S56*1000000/1000</f>
        <v>93776.587777653709</v>
      </c>
      <c r="AB56" s="24">
        <f>X56/T56*1000000/1000</f>
        <v>18647.849879040834</v>
      </c>
      <c r="AC56" s="24"/>
      <c r="AD56" s="24">
        <v>3788.1638359677609</v>
      </c>
      <c r="AE56" s="24">
        <v>7396.8074113892244</v>
      </c>
      <c r="AF56" s="24">
        <v>14718.753768229488</v>
      </c>
      <c r="AG56" s="24"/>
      <c r="AH56" s="24">
        <f t="shared" si="25"/>
        <v>486749.8192661872</v>
      </c>
      <c r="AI56" s="24">
        <f>AE56/$S56*1000000/1000</f>
        <v>95043.267042876134</v>
      </c>
      <c r="AJ56" s="24">
        <f>AF56/$T56*1000000/1000</f>
        <v>18912.462730585514</v>
      </c>
      <c r="AK56" s="44"/>
      <c r="AL56" s="103">
        <v>627.45831399999997</v>
      </c>
      <c r="AM56" s="24">
        <v>1229.024541</v>
      </c>
      <c r="AN56" s="24">
        <v>2273.7969659999999</v>
      </c>
      <c r="AO56" s="44"/>
      <c r="AP56" s="45">
        <f>AL56/'TA1'!I62</f>
        <v>4.6965503157363642E-2</v>
      </c>
      <c r="AQ56" s="45">
        <f>AM56/'TA1'!H62</f>
        <v>3.3242221458624599E-2</v>
      </c>
      <c r="AR56" s="45">
        <f>AN56/'TA1'!F62</f>
        <v>2.3639395769466071E-2</v>
      </c>
      <c r="AS56" s="44"/>
      <c r="AT56" s="103">
        <v>611.32559700000002</v>
      </c>
      <c r="AU56" s="24">
        <v>1212.220601</v>
      </c>
      <c r="AV56" s="24">
        <v>2250.7036159999998</v>
      </c>
      <c r="AW56" s="44"/>
      <c r="AX56" s="45">
        <f>AT56/'TA1'!Q62</f>
        <v>6.0041671386692544E-2</v>
      </c>
      <c r="AY56" s="45">
        <f>AU56/'TA1'!P62</f>
        <v>4.2345418170487106E-2</v>
      </c>
      <c r="AZ56" s="45">
        <f>AV56/'TA1'!N62</f>
        <v>2.9150907525883771E-2</v>
      </c>
      <c r="BB56" s="103">
        <v>579.92375100000004</v>
      </c>
      <c r="BC56" s="24">
        <v>1115.681225</v>
      </c>
      <c r="BD56" s="24">
        <v>2195.9460829999998</v>
      </c>
      <c r="BE56" s="44"/>
      <c r="BF56" s="45">
        <f>BB56/'TA1'!AJ62</f>
        <v>4.1172658171999846E-2</v>
      </c>
      <c r="BG56" s="45">
        <f>BC56/'TA1'!AI62</f>
        <v>3.0840399861216228E-2</v>
      </c>
      <c r="BH56" s="45">
        <f>BD56/'TA1'!AG62</f>
        <v>2.1700089028324845E-2</v>
      </c>
    </row>
    <row r="57" spans="1:60" s="20" customFormat="1">
      <c r="A57" s="15">
        <v>1969</v>
      </c>
      <c r="B57" s="45"/>
      <c r="C57" s="45"/>
      <c r="D57" s="45"/>
      <c r="E57" s="16"/>
      <c r="F57" s="100">
        <v>5.9232565482096842</v>
      </c>
      <c r="G57" s="17"/>
      <c r="H57" s="101">
        <v>0.54712956747793173</v>
      </c>
      <c r="I57" s="101">
        <v>2.0011547635668534</v>
      </c>
      <c r="J57" s="101">
        <v>8.0174220214230285</v>
      </c>
      <c r="K57" s="18"/>
      <c r="L57" s="23">
        <v>594701.88082442724</v>
      </c>
      <c r="M57" s="23">
        <f t="shared" si="19"/>
        <v>3253.789828337814</v>
      </c>
      <c r="N57" s="23">
        <f t="shared" si="20"/>
        <v>11900.905017139698</v>
      </c>
      <c r="O57" s="23">
        <f t="shared" si="21"/>
        <v>47679.759555034565</v>
      </c>
      <c r="P57" s="23"/>
      <c r="Q57" s="102">
        <v>78792.880570712965</v>
      </c>
      <c r="R57" s="19">
        <f t="shared" si="4"/>
        <v>7.8792880570712969</v>
      </c>
      <c r="S57" s="19">
        <f t="shared" si="5"/>
        <v>78.792880570712967</v>
      </c>
      <c r="T57" s="19">
        <f t="shared" si="15"/>
        <v>787.92880570712964</v>
      </c>
      <c r="V57" s="19"/>
      <c r="W57" s="19"/>
      <c r="X57" s="19"/>
      <c r="Z57" s="24"/>
      <c r="AA57" s="24"/>
      <c r="AB57" s="24"/>
      <c r="AC57" s="24"/>
      <c r="AD57" s="24"/>
      <c r="AE57" s="24"/>
      <c r="AF57" s="24"/>
      <c r="AG57" s="24"/>
      <c r="AH57" s="24"/>
      <c r="AI57" s="24"/>
      <c r="AJ57" s="24"/>
      <c r="AK57" s="44"/>
      <c r="AL57" s="103"/>
      <c r="AM57" s="24"/>
      <c r="AN57" s="24"/>
      <c r="AO57" s="44"/>
      <c r="AP57" s="17"/>
      <c r="AQ57" s="17"/>
      <c r="AR57" s="17"/>
      <c r="AS57" s="44"/>
      <c r="AT57" s="103"/>
      <c r="AU57" s="24"/>
      <c r="AV57" s="24"/>
      <c r="AW57" s="44"/>
      <c r="AX57" s="45"/>
      <c r="AY57" s="45"/>
      <c r="AZ57" s="45"/>
      <c r="BB57" s="103"/>
      <c r="BC57" s="24"/>
      <c r="BD57" s="24"/>
      <c r="BE57" s="44"/>
      <c r="BF57" s="17"/>
      <c r="BG57" s="17"/>
      <c r="BH57" s="17"/>
    </row>
    <row r="58" spans="1:60" s="20" customFormat="1">
      <c r="A58" s="15">
        <v>1970</v>
      </c>
      <c r="B58" s="45">
        <v>0.15182901918888092</v>
      </c>
      <c r="C58" s="45">
        <v>8.0435954034328461E-2</v>
      </c>
      <c r="D58" s="45">
        <v>4.3095670640468597E-2</v>
      </c>
      <c r="E58" s="16"/>
      <c r="F58" s="100">
        <v>5.602667920600398</v>
      </c>
      <c r="G58" s="17"/>
      <c r="H58" s="101">
        <v>0.52533930875849233</v>
      </c>
      <c r="I58" s="101">
        <v>1.9377728519936797</v>
      </c>
      <c r="J58" s="101">
        <v>7.8038458864426294</v>
      </c>
      <c r="K58" s="18"/>
      <c r="L58" s="23">
        <v>641252.35981373186</v>
      </c>
      <c r="M58" s="23">
        <f t="shared" si="19"/>
        <v>3368.7507144429792</v>
      </c>
      <c r="N58" s="23">
        <f t="shared" si="20"/>
        <v>12426.014141239324</v>
      </c>
      <c r="O58" s="23">
        <f t="shared" si="21"/>
        <v>50042.345903040201</v>
      </c>
      <c r="P58" s="23"/>
      <c r="Q58" s="102">
        <v>79924</v>
      </c>
      <c r="R58" s="19">
        <f t="shared" si="4"/>
        <v>7.9923999999999999</v>
      </c>
      <c r="S58" s="19">
        <f t="shared" si="5"/>
        <v>79.924000000000007</v>
      </c>
      <c r="T58" s="19">
        <f t="shared" si="15"/>
        <v>799.24</v>
      </c>
      <c r="V58" s="19">
        <f>B58*M58*$F58</f>
        <v>2865.6196267809851</v>
      </c>
      <c r="W58" s="19">
        <f>C58*N58*$F58</f>
        <v>5599.8570749607479</v>
      </c>
      <c r="X58" s="19">
        <f>D58*O58*$F58</f>
        <v>12082.761019967138</v>
      </c>
      <c r="Z58" s="24">
        <f>V58/R58*1000000/1000</f>
        <v>358543.06926342339</v>
      </c>
      <c r="AA58" s="24">
        <f>W58/S58*1000000/1000</f>
        <v>70064.774973233914</v>
      </c>
      <c r="AB58" s="24">
        <f>X58/T58*1000000/1000</f>
        <v>15117.813197496544</v>
      </c>
      <c r="AC58" s="24"/>
      <c r="AD58" s="24">
        <v>2817.2680655224131</v>
      </c>
      <c r="AE58" s="24">
        <v>5534.872181915026</v>
      </c>
      <c r="AF58" s="24">
        <v>12050.117097100718</v>
      </c>
      <c r="AG58" s="24"/>
      <c r="AH58" s="24">
        <f t="shared" si="25"/>
        <v>352493.37689835508</v>
      </c>
      <c r="AI58" s="24">
        <f>AE58/$S58*1000000/1000</f>
        <v>69251.691380749544</v>
      </c>
      <c r="AJ58" s="24">
        <f>AF58/$T58*1000000/1000</f>
        <v>15076.969492393671</v>
      </c>
      <c r="AK58" s="44"/>
      <c r="AL58" s="103">
        <v>508.02610499999997</v>
      </c>
      <c r="AM58" s="24">
        <v>1012.1543339999999</v>
      </c>
      <c r="AN58" s="24">
        <v>2057.296683</v>
      </c>
      <c r="AO58" s="44"/>
      <c r="AP58" s="45">
        <f>AL58/'TA1'!I64</f>
        <v>4.4033063315878355E-2</v>
      </c>
      <c r="AQ58" s="45">
        <f>AM58/'TA1'!H64</f>
        <v>3.1762988078871582E-2</v>
      </c>
      <c r="AR58" s="45">
        <f>AN58/'TA1'!F64</f>
        <v>2.2778249568842231E-2</v>
      </c>
      <c r="AS58" s="44"/>
      <c r="AT58" s="103">
        <v>486.929194</v>
      </c>
      <c r="AU58" s="24">
        <v>995.68546600000002</v>
      </c>
      <c r="AV58" s="24">
        <v>2025.879128</v>
      </c>
      <c r="AW58" s="44"/>
      <c r="AX58" s="45">
        <f>AT58/'TA1'!Q64</f>
        <v>5.4504091841135568E-2</v>
      </c>
      <c r="AY58" s="45">
        <f>AU58/'TA1'!P64</f>
        <v>3.9628523337370006E-2</v>
      </c>
      <c r="AZ58" s="45">
        <f>AV58/'TA1'!N64</f>
        <v>2.7243961619343518E-2</v>
      </c>
      <c r="BB58" s="103">
        <v>478.38388099999997</v>
      </c>
      <c r="BC58" s="24">
        <v>932.37178399999993</v>
      </c>
      <c r="BD58" s="24">
        <v>2001.9662699999999</v>
      </c>
      <c r="BE58" s="44"/>
      <c r="BF58" s="45">
        <f>BB58/'TA1'!AJ64</f>
        <v>3.6238996830626341E-2</v>
      </c>
      <c r="BG58" s="45">
        <f>BC58/'TA1'!AI64</f>
        <v>2.6509448035380412E-2</v>
      </c>
      <c r="BH58" s="45">
        <f>BD58/'TA1'!AG64</f>
        <v>1.9303799304687671E-2</v>
      </c>
    </row>
    <row r="59" spans="1:60" s="20" customFormat="1">
      <c r="A59" s="15">
        <v>1971</v>
      </c>
      <c r="B59" s="45"/>
      <c r="C59" s="45"/>
      <c r="D59" s="45"/>
      <c r="E59" s="16"/>
      <c r="F59" s="100">
        <v>5.3674942054147019</v>
      </c>
      <c r="G59" s="17"/>
      <c r="H59" s="101">
        <v>0.51804645938540372</v>
      </c>
      <c r="I59" s="101">
        <v>1.9144201922077375</v>
      </c>
      <c r="J59" s="101">
        <v>7.7860816660916825</v>
      </c>
      <c r="K59" s="18"/>
      <c r="L59" s="23">
        <v>683605.51628102292</v>
      </c>
      <c r="M59" s="23">
        <f t="shared" si="19"/>
        <v>3541.3941732571489</v>
      </c>
      <c r="N59" s="23">
        <f t="shared" si="20"/>
        <v>13087.082038729854</v>
      </c>
      <c r="O59" s="23">
        <f t="shared" si="21"/>
        <v>53226.083771548125</v>
      </c>
      <c r="P59" s="23"/>
      <c r="Q59" s="102">
        <v>81849.283100873465</v>
      </c>
      <c r="R59" s="19">
        <f t="shared" si="4"/>
        <v>8.1849283100873471</v>
      </c>
      <c r="S59" s="19">
        <f t="shared" si="5"/>
        <v>81.849283100873464</v>
      </c>
      <c r="T59" s="19">
        <f t="shared" si="15"/>
        <v>818.4928310087347</v>
      </c>
      <c r="V59" s="19"/>
      <c r="W59" s="19"/>
      <c r="X59" s="19"/>
      <c r="Z59" s="24"/>
      <c r="AA59" s="24"/>
      <c r="AB59" s="24"/>
      <c r="AC59" s="24"/>
      <c r="AD59" s="24"/>
      <c r="AE59" s="24"/>
      <c r="AF59" s="24"/>
      <c r="AG59" s="24"/>
      <c r="AH59" s="24"/>
      <c r="AI59" s="24"/>
      <c r="AJ59" s="24"/>
      <c r="AK59" s="44"/>
      <c r="AL59" s="103"/>
      <c r="AM59" s="24"/>
      <c r="AN59" s="24"/>
      <c r="AO59" s="44"/>
      <c r="AP59" s="17"/>
      <c r="AQ59" s="17"/>
      <c r="AR59" s="17"/>
      <c r="AS59" s="44"/>
      <c r="AT59" s="103"/>
      <c r="AU59" s="24"/>
      <c r="AV59" s="24"/>
      <c r="AW59" s="44"/>
      <c r="AX59" s="45"/>
      <c r="AY59" s="45"/>
      <c r="AZ59" s="45"/>
      <c r="BB59" s="103"/>
      <c r="BC59" s="24"/>
      <c r="BD59" s="24"/>
      <c r="BE59" s="44"/>
      <c r="BF59" s="17"/>
      <c r="BG59" s="17"/>
      <c r="BH59" s="17"/>
    </row>
    <row r="60" spans="1:60" s="20" customFormat="1">
      <c r="A60" s="15">
        <v>1972</v>
      </c>
      <c r="B60" s="45">
        <v>0.14235158264636993</v>
      </c>
      <c r="C60" s="45">
        <v>7.9447925090789795E-2</v>
      </c>
      <c r="D60" s="45">
        <v>4.4006522744894028E-2</v>
      </c>
      <c r="E60" s="16"/>
      <c r="F60" s="100">
        <v>5.2005625674472586</v>
      </c>
      <c r="G60" s="17"/>
      <c r="H60" s="101">
        <v>0.52045600169461848</v>
      </c>
      <c r="I60" s="101">
        <v>1.9156191028254645</v>
      </c>
      <c r="J60" s="101">
        <v>7.7541268798518805</v>
      </c>
      <c r="K60" s="18"/>
      <c r="L60" s="23">
        <v>751147.6271934883</v>
      </c>
      <c r="M60" s="23">
        <f t="shared" si="19"/>
        <v>3909.3929073152276</v>
      </c>
      <c r="N60" s="23">
        <f t="shared" si="20"/>
        <v>14389.127436938665</v>
      </c>
      <c r="O60" s="23">
        <f t="shared" si="21"/>
        <v>58244.940067579868</v>
      </c>
      <c r="P60" s="23"/>
      <c r="Q60" s="102">
        <v>83669.52931419824</v>
      </c>
      <c r="R60" s="19">
        <f t="shared" si="4"/>
        <v>8.3669529314198243</v>
      </c>
      <c r="S60" s="19">
        <f t="shared" si="5"/>
        <v>83.669529314198243</v>
      </c>
      <c r="T60" s="19">
        <f t="shared" si="15"/>
        <v>836.69529314198246</v>
      </c>
      <c r="V60" s="19">
        <f t="shared" ref="V60:V100" si="26">B60*M60*$F60</f>
        <v>2894.1560646580933</v>
      </c>
      <c r="W60" s="19">
        <f t="shared" ref="W60:W100" si="27">C60*N60*$F60</f>
        <v>5945.2119768140728</v>
      </c>
      <c r="X60" s="19">
        <f t="shared" ref="X60:X100" si="28">D60*O60*$F60</f>
        <v>13329.859804114354</v>
      </c>
      <c r="Z60" s="24">
        <f t="shared" ref="Z60:Z100" si="29">V60/R60*1000000/1000</f>
        <v>345903.23244079389</v>
      </c>
      <c r="AA60" s="24">
        <f t="shared" ref="AA60:AA100" si="30">W60/S60*1000000/1000</f>
        <v>71055.879309281634</v>
      </c>
      <c r="AB60" s="24">
        <f t="shared" ref="AB60:AB100" si="31">X60/T60*1000000/1000</f>
        <v>15931.55825468753</v>
      </c>
      <c r="AC60" s="24"/>
      <c r="AD60" s="24">
        <v>3149.0972287287836</v>
      </c>
      <c r="AE60" s="24">
        <v>6414.8819344489139</v>
      </c>
      <c r="AF60" s="24">
        <v>14137.319306450305</v>
      </c>
      <c r="AG60" s="24"/>
      <c r="AH60" s="24">
        <f t="shared" si="25"/>
        <v>376373.24537863751</v>
      </c>
      <c r="AI60" s="24">
        <f t="shared" ref="AI60:AI104" si="32">AE60/$S60*1000000/1000</f>
        <v>76669.272398552203</v>
      </c>
      <c r="AJ60" s="24">
        <f t="shared" ref="AJ60:AJ104" si="33">AF60/$T60*1000000/1000</f>
        <v>16896.616273962092</v>
      </c>
      <c r="AK60" s="44"/>
      <c r="AL60" s="103">
        <v>717.05572900000004</v>
      </c>
      <c r="AM60" s="24">
        <v>1393.5154050000001</v>
      </c>
      <c r="AN60" s="24">
        <v>2706.163689</v>
      </c>
      <c r="AO60" s="44"/>
      <c r="AP60" s="45">
        <f>AL60/'TA1'!I66</f>
        <v>4.6846372847509664E-2</v>
      </c>
      <c r="AQ60" s="45">
        <f>AM60/'TA1'!H66</f>
        <v>3.3472501111313127E-2</v>
      </c>
      <c r="AR60" s="45">
        <f>AN60/'TA1'!F66</f>
        <v>2.3546612839125784E-2</v>
      </c>
      <c r="AS60" s="44"/>
      <c r="AT60" s="103">
        <v>684.29458399999999</v>
      </c>
      <c r="AU60" s="24">
        <v>1356.695702</v>
      </c>
      <c r="AV60" s="24">
        <v>2672.1582779999999</v>
      </c>
      <c r="AW60" s="44"/>
      <c r="AX60" s="45">
        <f>AT60/'TA1'!Q66</f>
        <v>5.675212471510261E-2</v>
      </c>
      <c r="AY60" s="45">
        <f>AU60/'TA1'!P66</f>
        <v>4.1055764293067579E-2</v>
      </c>
      <c r="AZ60" s="45">
        <f>AV60/'TA1'!N66</f>
        <v>2.8209742069350403E-2</v>
      </c>
      <c r="BB60" s="103">
        <v>569.43684099999996</v>
      </c>
      <c r="BC60" s="24">
        <v>1163.5260720000001</v>
      </c>
      <c r="BD60" s="24">
        <v>2481.0005190000002</v>
      </c>
      <c r="BE60" s="44"/>
      <c r="BF60" s="45">
        <f>BB60/'TA1'!AJ66</f>
        <v>3.7305072508115433E-2</v>
      </c>
      <c r="BG60" s="45">
        <f>BC60/'TA1'!AI66</f>
        <v>2.8041669152557312E-2</v>
      </c>
      <c r="BH60" s="45">
        <f>BD60/'TA1'!AG66</f>
        <v>1.9948335182461169E-2</v>
      </c>
    </row>
    <row r="61" spans="1:60" s="20" customFormat="1">
      <c r="A61" s="15">
        <v>1973</v>
      </c>
      <c r="B61" s="45">
        <v>0.1126420646905899</v>
      </c>
      <c r="C61" s="45">
        <v>6.695874035358429E-2</v>
      </c>
      <c r="D61" s="45">
        <v>3.9019249379634857E-2</v>
      </c>
      <c r="E61" s="16"/>
      <c r="F61" s="100">
        <v>4.8960251198039515</v>
      </c>
      <c r="G61" s="17"/>
      <c r="H61" s="101">
        <v>0.4952197112420969</v>
      </c>
      <c r="I61" s="101">
        <v>1.8863507892417815</v>
      </c>
      <c r="J61" s="101">
        <v>7.7419961675539462</v>
      </c>
      <c r="K61" s="18"/>
      <c r="L61" s="23">
        <v>831698.51914472133</v>
      </c>
      <c r="M61" s="23">
        <f t="shared" si="19"/>
        <v>4118.7350049132847</v>
      </c>
      <c r="N61" s="23">
        <f t="shared" si="20"/>
        <v>15688.75157999866</v>
      </c>
      <c r="O61" s="23">
        <f t="shared" si="21"/>
        <v>64390.067477787248</v>
      </c>
      <c r="P61" s="23"/>
      <c r="Q61" s="102">
        <v>85441.835116484566</v>
      </c>
      <c r="R61" s="19">
        <f t="shared" si="4"/>
        <v>8.5441835116484572</v>
      </c>
      <c r="S61" s="19">
        <f t="shared" si="5"/>
        <v>85.441835116484569</v>
      </c>
      <c r="T61" s="19">
        <f t="shared" si="15"/>
        <v>854.41835116484572</v>
      </c>
      <c r="V61" s="19">
        <f t="shared" si="26"/>
        <v>2271.4756757405994</v>
      </c>
      <c r="W61" s="19">
        <f t="shared" si="27"/>
        <v>5143.2697053893326</v>
      </c>
      <c r="X61" s="19">
        <f t="shared" si="28"/>
        <v>12301.028596290007</v>
      </c>
      <c r="Z61" s="24">
        <f t="shared" si="29"/>
        <v>265850.52540641843</v>
      </c>
      <c r="AA61" s="24">
        <f t="shared" si="30"/>
        <v>60196.152135279044</v>
      </c>
      <c r="AB61" s="24">
        <f t="shared" si="31"/>
        <v>14396.962073110635</v>
      </c>
      <c r="AC61" s="24"/>
      <c r="AD61" s="24">
        <v>2456.9069875841942</v>
      </c>
      <c r="AE61" s="24">
        <v>5514.4092444220605</v>
      </c>
      <c r="AF61" s="24">
        <v>12892.073309357289</v>
      </c>
      <c r="AG61" s="24"/>
      <c r="AH61" s="24">
        <f t="shared" si="25"/>
        <v>287553.16224594699</v>
      </c>
      <c r="AI61" s="24">
        <f t="shared" si="32"/>
        <v>64539.92048396614</v>
      </c>
      <c r="AJ61" s="24">
        <f t="shared" si="33"/>
        <v>15088.713031246654</v>
      </c>
      <c r="AK61" s="44"/>
      <c r="AL61" s="103">
        <v>558.570289</v>
      </c>
      <c r="AM61" s="24">
        <v>1185.84258</v>
      </c>
      <c r="AN61" s="24">
        <v>2554.1889649999998</v>
      </c>
      <c r="AO61" s="44"/>
      <c r="AP61" s="45">
        <f>AL61/'TA1'!I67</f>
        <v>3.5385859808905289E-2</v>
      </c>
      <c r="AQ61" s="45">
        <f>AM61/'TA1'!H67</f>
        <v>2.6492315898698469E-2</v>
      </c>
      <c r="AR61" s="45">
        <f>AN61/'TA1'!F67</f>
        <v>2.0095522745719779E-2</v>
      </c>
      <c r="AS61" s="44"/>
      <c r="AT61" s="103">
        <v>532.79846999999995</v>
      </c>
      <c r="AU61" s="24">
        <v>1164.9904590000001</v>
      </c>
      <c r="AV61" s="24">
        <v>2511.965236</v>
      </c>
      <c r="AW61" s="44"/>
      <c r="AX61" s="45">
        <f>AT61/'TA1'!Q67</f>
        <v>4.138395855837574E-2</v>
      </c>
      <c r="AY61" s="45">
        <f>AU61/'TA1'!P67</f>
        <v>3.1736992011959425E-2</v>
      </c>
      <c r="AZ61" s="45">
        <f>AV61/'TA1'!N67</f>
        <v>2.3623243342028963E-2</v>
      </c>
      <c r="BB61" s="103">
        <v>474.56540899999999</v>
      </c>
      <c r="BC61" s="24">
        <v>1044.801907</v>
      </c>
      <c r="BD61" s="24">
        <v>2412.5342620000001</v>
      </c>
      <c r="BE61" s="44"/>
      <c r="BF61" s="45">
        <f>BB61/'TA1'!AJ67</f>
        <v>3.0583616345937648E-2</v>
      </c>
      <c r="BG61" s="45">
        <f>BC61/'TA1'!AI67</f>
        <v>2.3575811984120409E-2</v>
      </c>
      <c r="BH61" s="45">
        <f>BD61/'TA1'!AG67</f>
        <v>1.7593548167339702E-2</v>
      </c>
    </row>
    <row r="62" spans="1:60" s="20" customFormat="1">
      <c r="A62" s="15">
        <v>1974</v>
      </c>
      <c r="B62" s="45">
        <v>0.10186830908060074</v>
      </c>
      <c r="C62" s="45">
        <v>6.1587277799844742E-2</v>
      </c>
      <c r="D62" s="45">
        <v>3.8132056593894958E-2</v>
      </c>
      <c r="E62" s="16"/>
      <c r="F62" s="100">
        <v>4.4094019334542685</v>
      </c>
      <c r="G62" s="17"/>
      <c r="H62" s="101">
        <v>0.56296418427947892</v>
      </c>
      <c r="I62" s="101">
        <v>2.1068810561587226</v>
      </c>
      <c r="J62" s="101">
        <v>8.123618917085782</v>
      </c>
      <c r="K62" s="18"/>
      <c r="L62" s="23">
        <v>914549.7312577907</v>
      </c>
      <c r="M62" s="23">
        <f t="shared" si="19"/>
        <v>5148.5874344055883</v>
      </c>
      <c r="N62" s="23">
        <f t="shared" si="20"/>
        <v>19268.4750370209</v>
      </c>
      <c r="O62" s="23">
        <f t="shared" si="21"/>
        <v>74294.53497461506</v>
      </c>
      <c r="P62" s="23"/>
      <c r="Q62" s="102">
        <v>87227.731585466507</v>
      </c>
      <c r="R62" s="19">
        <f t="shared" si="4"/>
        <v>8.7227731585466515</v>
      </c>
      <c r="S62" s="19">
        <f t="shared" si="5"/>
        <v>87.227731585466515</v>
      </c>
      <c r="T62" s="19">
        <f t="shared" si="15"/>
        <v>872.27731585466506</v>
      </c>
      <c r="V62" s="19">
        <f t="shared" si="26"/>
        <v>2312.6338491020474</v>
      </c>
      <c r="W62" s="19">
        <f t="shared" si="27"/>
        <v>5232.606077401686</v>
      </c>
      <c r="X62" s="19">
        <f t="shared" si="28"/>
        <v>12491.850723542042</v>
      </c>
      <c r="Z62" s="24">
        <f t="shared" si="29"/>
        <v>265125.98769533611</v>
      </c>
      <c r="AA62" s="24">
        <f t="shared" si="30"/>
        <v>59987.872919459471</v>
      </c>
      <c r="AB62" s="24">
        <f t="shared" si="31"/>
        <v>14320.962492647668</v>
      </c>
      <c r="AC62" s="24"/>
      <c r="AD62" s="24">
        <v>2300.8928944636009</v>
      </c>
      <c r="AE62" s="24">
        <v>5211.1335427657286</v>
      </c>
      <c r="AF62" s="24">
        <v>12503.081817422601</v>
      </c>
      <c r="AG62" s="24"/>
      <c r="AH62" s="24">
        <f t="shared" si="25"/>
        <v>263779.97600558546</v>
      </c>
      <c r="AI62" s="24">
        <f t="shared" si="32"/>
        <v>59741.706542715867</v>
      </c>
      <c r="AJ62" s="24">
        <f t="shared" si="33"/>
        <v>14333.838092730832</v>
      </c>
      <c r="AK62" s="44"/>
      <c r="AL62" s="103">
        <v>532.98499100000004</v>
      </c>
      <c r="AM62" s="24">
        <v>1193.362357</v>
      </c>
      <c r="AN62" s="24">
        <v>2676.062895</v>
      </c>
      <c r="AO62" s="44"/>
      <c r="AP62" s="45">
        <f>AL62/'TA1'!I68</f>
        <v>3.3544346555306505E-2</v>
      </c>
      <c r="AQ62" s="45">
        <f>AM62/'TA1'!H68</f>
        <v>2.6008578310694756E-2</v>
      </c>
      <c r="AR62" s="45">
        <f>AN62/'TA1'!F68</f>
        <v>2.0146002765045242E-2</v>
      </c>
      <c r="AS62" s="44"/>
      <c r="AT62" s="103">
        <v>503.25961999999998</v>
      </c>
      <c r="AU62" s="24">
        <v>1149.689026</v>
      </c>
      <c r="AV62" s="24">
        <v>2618.3270009999997</v>
      </c>
      <c r="AW62" s="44"/>
      <c r="AX62" s="45">
        <f>AT62/'TA1'!Q68</f>
        <v>3.7353321701928982E-2</v>
      </c>
      <c r="AY62" s="45">
        <f>AU62/'TA1'!P68</f>
        <v>2.9508839952057397E-2</v>
      </c>
      <c r="AZ62" s="45">
        <f>AV62/'TA1'!N68</f>
        <v>2.2900729893883497E-2</v>
      </c>
      <c r="BB62" s="103">
        <v>481.648346</v>
      </c>
      <c r="BC62" s="24">
        <v>1104.8722250000001</v>
      </c>
      <c r="BD62" s="24">
        <v>2598.7608369999998</v>
      </c>
      <c r="BE62" s="44"/>
      <c r="BF62" s="45">
        <f>BB62/'TA1'!AJ68</f>
        <v>3.113819156567502E-2</v>
      </c>
      <c r="BG62" s="45">
        <f>BC62/'TA1'!AI68</f>
        <v>2.4216842290901049E-2</v>
      </c>
      <c r="BH62" s="45">
        <f>BD62/'TA1'!AG68</f>
        <v>1.8078198325738638E-2</v>
      </c>
    </row>
    <row r="63" spans="1:60" s="20" customFormat="1">
      <c r="A63" s="15">
        <v>1975</v>
      </c>
      <c r="B63" s="45">
        <v>0.11073751002550125</v>
      </c>
      <c r="C63" s="45">
        <v>6.5777711570262909E-2</v>
      </c>
      <c r="D63" s="45">
        <v>3.9104484021663666E-2</v>
      </c>
      <c r="E63" s="16"/>
      <c r="F63" s="100">
        <v>4.0405857866040034</v>
      </c>
      <c r="G63" s="17"/>
      <c r="H63" s="101">
        <v>0.55970851689307577</v>
      </c>
      <c r="I63" s="101">
        <v>2.0380327831081049</v>
      </c>
      <c r="J63" s="101">
        <v>8.0058801501615697</v>
      </c>
      <c r="K63" s="18"/>
      <c r="L63" s="23">
        <v>965991.37443402468</v>
      </c>
      <c r="M63" s="23">
        <f t="shared" si="19"/>
        <v>5406.7359951597173</v>
      </c>
      <c r="N63" s="23">
        <f t="shared" si="20"/>
        <v>19687.220892961988</v>
      </c>
      <c r="O63" s="23">
        <f t="shared" si="21"/>
        <v>77336.111698086504</v>
      </c>
      <c r="P63" s="23"/>
      <c r="Q63" s="102">
        <v>89127.466196003021</v>
      </c>
      <c r="R63" s="19">
        <f t="shared" si="4"/>
        <v>8.912746619600302</v>
      </c>
      <c r="S63" s="19">
        <f t="shared" si="5"/>
        <v>89.127466196003027</v>
      </c>
      <c r="T63" s="19">
        <f t="shared" si="15"/>
        <v>891.27466196003024</v>
      </c>
      <c r="V63" s="19">
        <f t="shared" si="26"/>
        <v>2419.2137922595998</v>
      </c>
      <c r="W63" s="19">
        <f t="shared" si="27"/>
        <v>5232.4791457040874</v>
      </c>
      <c r="X63" s="19">
        <f t="shared" si="28"/>
        <v>12219.494055803825</v>
      </c>
      <c r="Z63" s="24">
        <f t="shared" si="29"/>
        <v>271433.02682244219</v>
      </c>
      <c r="AA63" s="24">
        <f t="shared" si="30"/>
        <v>58707.818914061536</v>
      </c>
      <c r="AB63" s="24">
        <f t="shared" si="31"/>
        <v>13710.132888700718</v>
      </c>
      <c r="AC63" s="24"/>
      <c r="AD63" s="24">
        <v>2280.4404816511446</v>
      </c>
      <c r="AE63" s="24">
        <v>5019.2621146936954</v>
      </c>
      <c r="AF63" s="24">
        <v>12127.157465335891</v>
      </c>
      <c r="AG63" s="24"/>
      <c r="AH63" s="24">
        <f t="shared" si="25"/>
        <v>255862.81973237699</v>
      </c>
      <c r="AI63" s="24">
        <f t="shared" si="32"/>
        <v>56315.548157238954</v>
      </c>
      <c r="AJ63" s="24">
        <f t="shared" si="33"/>
        <v>13606.532287888311</v>
      </c>
      <c r="AK63" s="44"/>
      <c r="AL63" s="103">
        <v>619.15008899999998</v>
      </c>
      <c r="AM63" s="24">
        <v>1314.94625</v>
      </c>
      <c r="AN63" s="24">
        <v>2919.5192479999996</v>
      </c>
      <c r="AO63" s="44"/>
      <c r="AP63" s="45">
        <f>AL63/'TA1'!I69</f>
        <v>3.6633255214657962E-2</v>
      </c>
      <c r="AQ63" s="45">
        <f>AM63/'TA1'!H69</f>
        <v>2.7591375023635848E-2</v>
      </c>
      <c r="AR63" s="45">
        <f>AN63/'TA1'!F69</f>
        <v>2.0741032648046293E-2</v>
      </c>
      <c r="AS63" s="44"/>
      <c r="AT63" s="103">
        <v>598.57001500000001</v>
      </c>
      <c r="AU63" s="24">
        <v>1289.5157370000002</v>
      </c>
      <c r="AV63" s="24">
        <v>2855.4582369999998</v>
      </c>
      <c r="AW63" s="44"/>
      <c r="AX63" s="45">
        <f>AT63/'TA1'!Q69</f>
        <v>4.2154093300153295E-2</v>
      </c>
      <c r="AY63" s="45">
        <f>AU63/'TA1'!P69</f>
        <v>3.1765617759103713E-2</v>
      </c>
      <c r="AZ63" s="45">
        <f>AV63/'TA1'!N69</f>
        <v>2.3532963771827561E-2</v>
      </c>
      <c r="BB63" s="103">
        <v>523.13580100000001</v>
      </c>
      <c r="BC63" s="24">
        <v>1148.190128</v>
      </c>
      <c r="BD63" s="24">
        <v>2752.9893869999996</v>
      </c>
      <c r="BE63" s="44"/>
      <c r="BF63" s="45">
        <f>BB63/'TA1'!AJ69</f>
        <v>3.165280333783918E-2</v>
      </c>
      <c r="BG63" s="45">
        <f>BC63/'TA1'!AI69</f>
        <v>2.3790431421269714E-2</v>
      </c>
      <c r="BH63" s="45">
        <f>BD63/'TA1'!AG69</f>
        <v>1.7993879967505618E-2</v>
      </c>
    </row>
    <row r="64" spans="1:60" s="20" customFormat="1">
      <c r="A64" s="15">
        <v>1976</v>
      </c>
      <c r="B64" s="45">
        <v>0.11032526195049286</v>
      </c>
      <c r="C64" s="45">
        <v>6.7635558545589447E-2</v>
      </c>
      <c r="D64" s="45">
        <v>4.0234319865703583E-2</v>
      </c>
      <c r="E64" s="16"/>
      <c r="F64" s="100">
        <v>3.8204484238891978</v>
      </c>
      <c r="G64" s="17"/>
      <c r="H64" s="101">
        <v>0.56193360343470244</v>
      </c>
      <c r="I64" s="101">
        <v>2.019184816526236</v>
      </c>
      <c r="J64" s="101">
        <v>7.8891961987813497</v>
      </c>
      <c r="K64" s="18"/>
      <c r="L64" s="23">
        <v>1068764.5899609402</v>
      </c>
      <c r="M64" s="23">
        <f t="shared" si="19"/>
        <v>6005.7473726016333</v>
      </c>
      <c r="N64" s="23">
        <f t="shared" si="20"/>
        <v>21580.332324900188</v>
      </c>
      <c r="O64" s="23">
        <f t="shared" si="21"/>
        <v>84316.93540511957</v>
      </c>
      <c r="P64" s="23"/>
      <c r="Q64" s="102">
        <v>91048.45550544768</v>
      </c>
      <c r="R64" s="19">
        <f t="shared" si="4"/>
        <v>9.1048455505447681</v>
      </c>
      <c r="S64" s="19">
        <f t="shared" si="5"/>
        <v>91.048455505447677</v>
      </c>
      <c r="T64" s="19">
        <f t="shared" si="15"/>
        <v>910.4845550544768</v>
      </c>
      <c r="V64" s="19">
        <f t="shared" si="26"/>
        <v>2531.3743102217386</v>
      </c>
      <c r="W64" s="19">
        <f t="shared" si="27"/>
        <v>5576.3182306410908</v>
      </c>
      <c r="X64" s="19">
        <f t="shared" si="28"/>
        <v>12960.621226582805</v>
      </c>
      <c r="Z64" s="24">
        <f t="shared" si="29"/>
        <v>278024.95892643445</v>
      </c>
      <c r="AA64" s="24">
        <f t="shared" si="30"/>
        <v>61245.610369606373</v>
      </c>
      <c r="AB64" s="24">
        <f t="shared" si="31"/>
        <v>14234.8611567687</v>
      </c>
      <c r="AC64" s="24"/>
      <c r="AD64" s="24">
        <v>2500.54463482233</v>
      </c>
      <c r="AE64" s="24">
        <v>5531.1635118477607</v>
      </c>
      <c r="AF64" s="24">
        <v>13002.192245673019</v>
      </c>
      <c r="AG64" s="24"/>
      <c r="AH64" s="24">
        <f t="shared" si="25"/>
        <v>274638.88551879011</v>
      </c>
      <c r="AI64" s="24">
        <f t="shared" si="32"/>
        <v>60749.668746624877</v>
      </c>
      <c r="AJ64" s="24">
        <f t="shared" si="33"/>
        <v>14280.519283377698</v>
      </c>
      <c r="AK64" s="44"/>
      <c r="AL64" s="103">
        <v>762.36739786999999</v>
      </c>
      <c r="AM64" s="24">
        <v>1581.71684265</v>
      </c>
      <c r="AN64" s="24">
        <v>3276.03696369</v>
      </c>
      <c r="AO64" s="44"/>
      <c r="AP64" s="45">
        <f>AL64/'TA1'!I70</f>
        <v>3.8668693048390518E-2</v>
      </c>
      <c r="AQ64" s="45">
        <f>AM64/'TA1'!H70</f>
        <v>2.874209135188209E-2</v>
      </c>
      <c r="AR64" s="45">
        <f>AN64/'TA1'!F70</f>
        <v>2.0750958353586715E-2</v>
      </c>
      <c r="AS64" s="44"/>
      <c r="AT64" s="103">
        <v>725.28707359999999</v>
      </c>
      <c r="AU64" s="24">
        <v>1546.4186236999999</v>
      </c>
      <c r="AV64" s="24">
        <v>3227.61066325</v>
      </c>
      <c r="AW64" s="44"/>
      <c r="AX64" s="45">
        <f>AT64/'TA1'!Q70</f>
        <v>4.429522639249088E-2</v>
      </c>
      <c r="AY64" s="45">
        <f>AU64/'TA1'!P70</f>
        <v>3.3453678682883528E-2</v>
      </c>
      <c r="AZ64" s="45">
        <f>AV64/'TA1'!N70</f>
        <v>2.3888753614264298E-2</v>
      </c>
      <c r="BB64" s="103">
        <v>609.54653212999995</v>
      </c>
      <c r="BC64" s="24">
        <v>1337.7601490899999</v>
      </c>
      <c r="BD64" s="24">
        <v>3112.4690549499996</v>
      </c>
      <c r="BE64" s="44"/>
      <c r="BF64" s="45">
        <f>BB64/'TA1'!AJ70</f>
        <v>3.2684392664484592E-2</v>
      </c>
      <c r="BG64" s="45">
        <f>BC64/'TA1'!AI70</f>
        <v>2.495167082151737E-2</v>
      </c>
      <c r="BH64" s="45">
        <f>BD64/'TA1'!AG70</f>
        <v>1.8326470932557574E-2</v>
      </c>
    </row>
    <row r="65" spans="1:60" s="20" customFormat="1">
      <c r="A65" s="15">
        <v>1977</v>
      </c>
      <c r="B65" s="45">
        <v>0.11107464879751205</v>
      </c>
      <c r="C65" s="45">
        <v>6.8443074822425842E-2</v>
      </c>
      <c r="D65" s="45">
        <v>4.0845911949872971E-2</v>
      </c>
      <c r="E65" s="16"/>
      <c r="F65" s="100">
        <v>3.5871867214405189</v>
      </c>
      <c r="G65" s="17"/>
      <c r="H65" s="101">
        <v>0.56620582508149453</v>
      </c>
      <c r="I65" s="101">
        <v>2.0416144422048523</v>
      </c>
      <c r="J65" s="101">
        <v>7.8992263574060786</v>
      </c>
      <c r="K65" s="18"/>
      <c r="L65" s="23">
        <v>1175139.9017697203</v>
      </c>
      <c r="M65" s="23">
        <f t="shared" si="19"/>
        <v>6653.7105766771092</v>
      </c>
      <c r="N65" s="23">
        <f t="shared" si="20"/>
        <v>23991.82595064252</v>
      </c>
      <c r="O65" s="23">
        <f t="shared" si="21"/>
        <v>92826.960856989637</v>
      </c>
      <c r="P65" s="23"/>
      <c r="Q65" s="102">
        <v>93075.821147921553</v>
      </c>
      <c r="R65" s="19">
        <f t="shared" si="4"/>
        <v>9.3075821147921562</v>
      </c>
      <c r="S65" s="19">
        <f t="shared" si="5"/>
        <v>93.075821147921559</v>
      </c>
      <c r="T65" s="19">
        <f t="shared" si="15"/>
        <v>930.75821147921556</v>
      </c>
      <c r="V65" s="19">
        <f t="shared" si="26"/>
        <v>2651.1410725453425</v>
      </c>
      <c r="W65" s="19">
        <f t="shared" si="27"/>
        <v>5890.4272632824895</v>
      </c>
      <c r="X65" s="19">
        <f t="shared" si="28"/>
        <v>13601.183880116439</v>
      </c>
      <c r="Z65" s="24">
        <f t="shared" si="29"/>
        <v>284836.71052786021</v>
      </c>
      <c r="AA65" s="24">
        <f t="shared" si="30"/>
        <v>63286.331408466191</v>
      </c>
      <c r="AB65" s="24">
        <f t="shared" si="31"/>
        <v>14613.015187371422</v>
      </c>
      <c r="AC65" s="24"/>
      <c r="AD65" s="24">
        <v>2610.4001853425402</v>
      </c>
      <c r="AE65" s="24">
        <v>5845.447645722159</v>
      </c>
      <c r="AF65" s="24">
        <v>13643.401652794097</v>
      </c>
      <c r="AG65" s="24"/>
      <c r="AH65" s="24">
        <f t="shared" si="25"/>
        <v>280459.53859423264</v>
      </c>
      <c r="AI65" s="24">
        <f t="shared" si="32"/>
        <v>62803.073597730938</v>
      </c>
      <c r="AJ65" s="24">
        <f t="shared" si="33"/>
        <v>14658.373661953734</v>
      </c>
      <c r="AK65" s="44"/>
      <c r="AL65" s="103">
        <v>817.65215102000002</v>
      </c>
      <c r="AM65" s="24">
        <v>1765.6715845200001</v>
      </c>
      <c r="AN65" s="24">
        <v>3680.70048481</v>
      </c>
      <c r="AO65" s="44"/>
      <c r="AP65" s="45">
        <f>AL65/'TA1'!I71</f>
        <v>3.6540576474113892E-2</v>
      </c>
      <c r="AQ65" s="45">
        <f>AM65/'TA1'!H71</f>
        <v>2.8433712646863257E-2</v>
      </c>
      <c r="AR65" s="45">
        <f>AN65/'TA1'!F71</f>
        <v>2.0678297021950537E-2</v>
      </c>
      <c r="AS65" s="44"/>
      <c r="AT65" s="103">
        <v>791.58061405000001</v>
      </c>
      <c r="AU65" s="24">
        <v>1729.2941197099999</v>
      </c>
      <c r="AV65" s="24">
        <v>3627.8077085</v>
      </c>
      <c r="AW65" s="44"/>
      <c r="AX65" s="45">
        <f>AT65/'TA1'!Q71</f>
        <v>4.1627302945246435E-2</v>
      </c>
      <c r="AY65" s="45">
        <f>AU65/'TA1'!P71</f>
        <v>3.2526968183907067E-2</v>
      </c>
      <c r="AZ65" s="45">
        <f>AV65/'TA1'!N71</f>
        <v>2.3514418845205196E-2</v>
      </c>
      <c r="BB65" s="103">
        <v>678.16750501000001</v>
      </c>
      <c r="BC65" s="24">
        <v>1496.75565689</v>
      </c>
      <c r="BD65" s="24">
        <v>3474.5533146400003</v>
      </c>
      <c r="BE65" s="44"/>
      <c r="BF65" s="45">
        <f>BB65/'TA1'!AJ71</f>
        <v>3.1699333851419473E-2</v>
      </c>
      <c r="BG65" s="45">
        <f>BC65/'TA1'!AI71</f>
        <v>2.4475947822326833E-2</v>
      </c>
      <c r="BH65" s="45">
        <f>BD65/'TA1'!AG71</f>
        <v>1.8133450966878257E-2</v>
      </c>
    </row>
    <row r="66" spans="1:60" s="20" customFormat="1">
      <c r="A66" s="15">
        <v>1978</v>
      </c>
      <c r="B66" s="45">
        <v>0.10067892819643021</v>
      </c>
      <c r="C66" s="45">
        <v>6.4096242189407349E-2</v>
      </c>
      <c r="D66" s="45">
        <v>3.8229078054428101E-2</v>
      </c>
      <c r="E66" s="16"/>
      <c r="F66" s="100">
        <v>3.3341029956947152</v>
      </c>
      <c r="G66" s="17"/>
      <c r="H66" s="101">
        <v>0.58055664529142692</v>
      </c>
      <c r="I66" s="101">
        <v>2.0792463029645591</v>
      </c>
      <c r="J66" s="101">
        <v>7.9526089866496275</v>
      </c>
      <c r="K66" s="18"/>
      <c r="L66" s="23">
        <v>1317571.0106087574</v>
      </c>
      <c r="M66" s="23">
        <f t="shared" si="19"/>
        <v>7649.2460585225526</v>
      </c>
      <c r="N66" s="23">
        <f t="shared" si="20"/>
        <v>27395.546527015365</v>
      </c>
      <c r="O66" s="23">
        <f t="shared" si="21"/>
        <v>104781.27059516236</v>
      </c>
      <c r="P66" s="23"/>
      <c r="Q66" s="102">
        <v>95212.836116289182</v>
      </c>
      <c r="R66" s="19">
        <f t="shared" si="4"/>
        <v>9.5212836116289186</v>
      </c>
      <c r="S66" s="19">
        <f t="shared" si="5"/>
        <v>95.212836116289182</v>
      </c>
      <c r="T66" s="19">
        <f t="shared" si="15"/>
        <v>952.12836116289179</v>
      </c>
      <c r="V66" s="19">
        <f t="shared" si="26"/>
        <v>2567.6523797000932</v>
      </c>
      <c r="W66" s="19">
        <f t="shared" si="27"/>
        <v>5854.523440199313</v>
      </c>
      <c r="X66" s="19">
        <f t="shared" si="28"/>
        <v>13355.387603962561</v>
      </c>
      <c r="Z66" s="24">
        <f t="shared" si="29"/>
        <v>269675.02328825329</v>
      </c>
      <c r="AA66" s="24">
        <f t="shared" si="30"/>
        <v>61488.804230648377</v>
      </c>
      <c r="AB66" s="24">
        <f t="shared" si="31"/>
        <v>14026.877203459017</v>
      </c>
      <c r="AC66" s="24"/>
      <c r="AD66" s="24">
        <v>2538.0928510759627</v>
      </c>
      <c r="AE66" s="24">
        <v>5819.9043345486152</v>
      </c>
      <c r="AF66" s="24">
        <v>13440.023792489192</v>
      </c>
      <c r="AG66" s="24"/>
      <c r="AH66" s="24">
        <f t="shared" si="25"/>
        <v>266570.4493852107</v>
      </c>
      <c r="AI66" s="24">
        <f t="shared" si="32"/>
        <v>61125.20718782513</v>
      </c>
      <c r="AJ66" s="24">
        <f t="shared" si="33"/>
        <v>14115.768777304438</v>
      </c>
      <c r="AK66" s="44"/>
      <c r="AL66" s="103">
        <v>837.36683787000004</v>
      </c>
      <c r="AM66" s="24">
        <v>1805.4126695800001</v>
      </c>
      <c r="AN66" s="24">
        <v>3823.3531690999998</v>
      </c>
      <c r="AO66" s="44"/>
      <c r="AP66" s="45">
        <f>AL66/'TA1'!I72</f>
        <v>3.3676704565257537E-2</v>
      </c>
      <c r="AQ66" s="45">
        <f>AM66/'TA1'!H72</f>
        <v>2.586952178167681E-2</v>
      </c>
      <c r="AR66" s="45">
        <f>AN66/'TA1'!F72</f>
        <v>1.9277378427915652E-2</v>
      </c>
      <c r="AS66" s="44"/>
      <c r="AT66" s="103">
        <v>816.21284026000001</v>
      </c>
      <c r="AU66" s="24">
        <v>1770.3860830399999</v>
      </c>
      <c r="AV66" s="24">
        <v>3776.6176067000001</v>
      </c>
      <c r="AW66" s="44"/>
      <c r="AX66" s="45">
        <f>AT66/'TA1'!Q72</f>
        <v>3.8078450232754919E-2</v>
      </c>
      <c r="AY66" s="45">
        <f>AU66/'TA1'!P72</f>
        <v>2.9037775775299882E-2</v>
      </c>
      <c r="AZ66" s="45">
        <f>AV66/'TA1'!N72</f>
        <v>2.1736952169840392E-2</v>
      </c>
      <c r="BB66" s="103">
        <v>702.98193878999996</v>
      </c>
      <c r="BC66" s="24">
        <v>1607.4465884000001</v>
      </c>
      <c r="BD66" s="24">
        <v>3660.5966134199998</v>
      </c>
      <c r="BE66" s="44"/>
      <c r="BF66" s="45">
        <f>BB66/'TA1'!AJ72</f>
        <v>2.7743782057893462E-2</v>
      </c>
      <c r="BG66" s="45">
        <f>BC66/'TA1'!AI72</f>
        <v>2.2540785776648649E-2</v>
      </c>
      <c r="BH66" s="45">
        <f>BD66/'TA1'!AG72</f>
        <v>1.6766732067440792E-2</v>
      </c>
    </row>
    <row r="67" spans="1:60" s="20" customFormat="1">
      <c r="A67" s="15">
        <v>1979</v>
      </c>
      <c r="B67" s="45">
        <v>0.11787800490856171</v>
      </c>
      <c r="C67" s="45">
        <v>7.5463555753231049E-2</v>
      </c>
      <c r="D67" s="45">
        <v>4.2993344366550446E-2</v>
      </c>
      <c r="E67" s="16"/>
      <c r="F67" s="100">
        <v>3.0426604261409813</v>
      </c>
      <c r="G67" s="17"/>
      <c r="H67" s="101">
        <v>0.6153247236620506</v>
      </c>
      <c r="I67" s="101">
        <v>2.1578669268075807</v>
      </c>
      <c r="J67" s="101">
        <v>8.0324098037332945</v>
      </c>
      <c r="K67" s="18"/>
      <c r="L67" s="23">
        <v>1476334.0561135008</v>
      </c>
      <c r="M67" s="23">
        <f t="shared" si="19"/>
        <v>9084.2484511091425</v>
      </c>
      <c r="N67" s="23">
        <f t="shared" si="20"/>
        <v>31857.324326070106</v>
      </c>
      <c r="O67" s="23">
        <f t="shared" si="21"/>
        <v>118585.20145911424</v>
      </c>
      <c r="P67" s="23"/>
      <c r="Q67" s="102">
        <v>97457.045574318821</v>
      </c>
      <c r="R67" s="19">
        <f t="shared" si="4"/>
        <v>9.7457045574318819</v>
      </c>
      <c r="S67" s="19">
        <f t="shared" si="5"/>
        <v>97.457045574318826</v>
      </c>
      <c r="T67" s="19">
        <f t="shared" si="15"/>
        <v>974.57045574318818</v>
      </c>
      <c r="V67" s="19">
        <f t="shared" si="26"/>
        <v>3258.1814461997287</v>
      </c>
      <c r="W67" s="19">
        <f t="shared" si="27"/>
        <v>7314.7594327174302</v>
      </c>
      <c r="X67" s="19">
        <f t="shared" si="28"/>
        <v>15512.622033988255</v>
      </c>
      <c r="Z67" s="24">
        <f t="shared" si="29"/>
        <v>334319.74332888064</v>
      </c>
      <c r="AA67" s="24">
        <f t="shared" si="30"/>
        <v>75056.240311936592</v>
      </c>
      <c r="AB67" s="24">
        <f t="shared" si="31"/>
        <v>15917.3941120128</v>
      </c>
      <c r="AC67" s="24"/>
      <c r="AD67" s="24">
        <v>3014.3365661321295</v>
      </c>
      <c r="AE67" s="24">
        <v>6625.6085721863792</v>
      </c>
      <c r="AF67" s="24">
        <v>14721.65695866237</v>
      </c>
      <c r="AG67" s="24"/>
      <c r="AH67" s="24">
        <f t="shared" si="25"/>
        <v>309298.9889410772</v>
      </c>
      <c r="AI67" s="24">
        <f t="shared" si="32"/>
        <v>67984.911025584297</v>
      </c>
      <c r="AJ67" s="24">
        <f t="shared" si="33"/>
        <v>15105.79032219474</v>
      </c>
      <c r="AK67" s="44"/>
      <c r="AL67" s="103">
        <v>1069.8932878000001</v>
      </c>
      <c r="AM67" s="24">
        <v>2223.6067504000002</v>
      </c>
      <c r="AN67" s="24">
        <v>4527.6934913599998</v>
      </c>
      <c r="AO67" s="44"/>
      <c r="AP67" s="45">
        <f>AL67/'TA1'!I73</f>
        <v>3.5594369996343467E-2</v>
      </c>
      <c r="AQ67" s="45">
        <f>AM67/'TA1'!H73</f>
        <v>2.7292399578326697E-2</v>
      </c>
      <c r="AR67" s="45">
        <f>AN67/'TA1'!F73</f>
        <v>1.9972081926941453E-2</v>
      </c>
      <c r="AS67" s="44"/>
      <c r="AT67" s="103">
        <v>1041.3105875000001</v>
      </c>
      <c r="AU67" s="24">
        <v>2153.0643135</v>
      </c>
      <c r="AV67" s="24">
        <v>4492.5056974600002</v>
      </c>
      <c r="AW67" s="44"/>
      <c r="AX67" s="45">
        <f>AT67/'TA1'!Q73</f>
        <v>3.9749544449133409E-2</v>
      </c>
      <c r="AY67" s="45">
        <f>AU67/'TA1'!P73</f>
        <v>3.0112427163647357E-2</v>
      </c>
      <c r="AZ67" s="45">
        <f>AV67/'TA1'!N73</f>
        <v>2.2425721177033845E-2</v>
      </c>
      <c r="BB67" s="103">
        <v>916.75804300000004</v>
      </c>
      <c r="BC67" s="24">
        <v>2014.9478517</v>
      </c>
      <c r="BD67" s="24">
        <v>4394.9344821499999</v>
      </c>
      <c r="BE67" s="44"/>
      <c r="BF67" s="45">
        <f>BB67/'TA1'!AJ73</f>
        <v>2.7761799847335344E-2</v>
      </c>
      <c r="BG67" s="45">
        <f>BC67/'TA1'!AI73</f>
        <v>2.3262059986059899E-2</v>
      </c>
      <c r="BH67" s="45">
        <f>BD67/'TA1'!AG73</f>
        <v>1.754411127294889E-2</v>
      </c>
    </row>
    <row r="68" spans="1:60" s="20" customFormat="1">
      <c r="A68" s="15">
        <v>1980</v>
      </c>
      <c r="B68" s="45">
        <v>0.10876652598381042</v>
      </c>
      <c r="C68" s="45">
        <v>7.1899525821208954E-2</v>
      </c>
      <c r="D68" s="45">
        <v>4.3812770396471024E-2</v>
      </c>
      <c r="E68" s="16"/>
      <c r="F68" s="100">
        <v>2.7386337745910954</v>
      </c>
      <c r="G68" s="17"/>
      <c r="H68" s="101">
        <v>0.65481424578051528</v>
      </c>
      <c r="I68" s="101">
        <v>2.2311385274956113</v>
      </c>
      <c r="J68" s="101">
        <v>8.1767146253680529</v>
      </c>
      <c r="K68" s="18"/>
      <c r="L68" s="23">
        <v>1631791.7179166269</v>
      </c>
      <c r="M68" s="23">
        <f t="shared" si="19"/>
        <v>10685.204630384673</v>
      </c>
      <c r="N68" s="23">
        <f t="shared" si="20"/>
        <v>36407.533706920367</v>
      </c>
      <c r="O68" s="23">
        <f t="shared" si="21"/>
        <v>133426.95205443344</v>
      </c>
      <c r="P68" s="23"/>
      <c r="Q68" s="102">
        <v>99625</v>
      </c>
      <c r="R68" s="19">
        <f t="shared" si="4"/>
        <v>9.9625000000000004</v>
      </c>
      <c r="S68" s="19">
        <f t="shared" si="5"/>
        <v>99.625</v>
      </c>
      <c r="T68" s="19">
        <f t="shared" si="15"/>
        <v>996.25</v>
      </c>
      <c r="V68" s="19">
        <f t="shared" si="26"/>
        <v>3182.8198715377011</v>
      </c>
      <c r="W68" s="19">
        <f t="shared" si="27"/>
        <v>7168.8789360282553</v>
      </c>
      <c r="X68" s="19">
        <f t="shared" si="28"/>
        <v>16009.517410742097</v>
      </c>
      <c r="Z68" s="24">
        <f t="shared" si="29"/>
        <v>319480.03729362116</v>
      </c>
      <c r="AA68" s="24">
        <f t="shared" si="30"/>
        <v>71958.634238677594</v>
      </c>
      <c r="AB68" s="24">
        <f t="shared" si="31"/>
        <v>16069.779082300722</v>
      </c>
      <c r="AC68" s="24"/>
      <c r="AD68" s="24">
        <v>3022.938757200528</v>
      </c>
      <c r="AE68" s="24">
        <v>6654.7729705882957</v>
      </c>
      <c r="AF68" s="24">
        <v>15157.689246835202</v>
      </c>
      <c r="AG68" s="24"/>
      <c r="AH68" s="24">
        <f t="shared" si="25"/>
        <v>303431.74476291373</v>
      </c>
      <c r="AI68" s="24">
        <f t="shared" si="32"/>
        <v>66798.223042291545</v>
      </c>
      <c r="AJ68" s="24">
        <f t="shared" si="33"/>
        <v>15214.74453885591</v>
      </c>
      <c r="AK68" s="44"/>
      <c r="AL68" s="103">
        <v>1165.9106004</v>
      </c>
      <c r="AM68" s="24">
        <v>2528.9599665000001</v>
      </c>
      <c r="AN68" s="24">
        <v>5231.5283794000006</v>
      </c>
      <c r="AO68" s="44"/>
      <c r="AP68" s="45">
        <f>AL68/'TA1'!I74</f>
        <v>3.9806833048505755E-2</v>
      </c>
      <c r="AQ68" s="45">
        <f>AM68/'TA1'!H74</f>
        <v>3.1135736147984254E-2</v>
      </c>
      <c r="AR68" s="45">
        <f>AN68/'TA1'!F74</f>
        <v>2.2259300502461617E-2</v>
      </c>
      <c r="AS68" s="44"/>
      <c r="AT68" s="103">
        <v>1124.3242147999999</v>
      </c>
      <c r="AU68" s="24">
        <v>2464.5770963999998</v>
      </c>
      <c r="AV68" s="24">
        <v>5164.2535332999996</v>
      </c>
      <c r="AW68" s="44"/>
      <c r="AX68" s="45">
        <f>AT68/'TA1'!Q74</f>
        <v>4.4383476606424326E-2</v>
      </c>
      <c r="AY68" s="45">
        <f>AU68/'TA1'!P74</f>
        <v>3.470232436769121E-2</v>
      </c>
      <c r="AZ68" s="45">
        <f>AV68/'TA1'!N74</f>
        <v>2.493302997377984E-2</v>
      </c>
      <c r="BB68" s="103">
        <v>1020.0881796</v>
      </c>
      <c r="BC68" s="24">
        <v>2255.0044478</v>
      </c>
      <c r="BD68" s="24">
        <v>5029.3700691000004</v>
      </c>
      <c r="BE68" s="44"/>
      <c r="BF68" s="45">
        <f>BB68/'TA1'!AJ74</f>
        <v>3.3241894779553173E-2</v>
      </c>
      <c r="BG68" s="45">
        <f>BC68/'TA1'!AI74</f>
        <v>2.6092749444358531E-2</v>
      </c>
      <c r="BH68" s="45">
        <f>BD68/'TA1'!AG74</f>
        <v>1.9448806647585991E-2</v>
      </c>
    </row>
    <row r="69" spans="1:60" s="20" customFormat="1">
      <c r="A69" s="15">
        <v>1981</v>
      </c>
      <c r="B69" s="45">
        <v>0.12870089709758759</v>
      </c>
      <c r="C69" s="45">
        <v>8.0451257526874542E-2</v>
      </c>
      <c r="D69" s="45">
        <v>4.7156877815723419E-2</v>
      </c>
      <c r="E69" s="16"/>
      <c r="F69" s="100">
        <v>2.5005772467710363</v>
      </c>
      <c r="G69" s="17"/>
      <c r="H69" s="101">
        <v>0.65596229076334767</v>
      </c>
      <c r="I69" s="101">
        <v>2.225339724004177</v>
      </c>
      <c r="J69" s="101">
        <v>8.026075546927979</v>
      </c>
      <c r="K69" s="18"/>
      <c r="L69" s="23">
        <v>1803844.9417724272</v>
      </c>
      <c r="M69" s="23">
        <f t="shared" ref="M69:M102" si="34">H69*$L69/100</f>
        <v>11832.542601869187</v>
      </c>
      <c r="N69" s="23">
        <f t="shared" ref="N69:N102" si="35">I69*$L69/100</f>
        <v>40141.67804870184</v>
      </c>
      <c r="O69" s="23">
        <f t="shared" ref="O69:O102" si="36">J69*$L69/100</f>
        <v>144777.95777609403</v>
      </c>
      <c r="P69" s="23"/>
      <c r="Q69" s="102">
        <v>101432.20736241926</v>
      </c>
      <c r="R69" s="19">
        <f t="shared" si="4"/>
        <v>10.143220736241926</v>
      </c>
      <c r="S69" s="19">
        <f t="shared" si="5"/>
        <v>101.43220736241926</v>
      </c>
      <c r="T69" s="19">
        <f t="shared" si="15"/>
        <v>1014.3220736241926</v>
      </c>
      <c r="V69" s="19">
        <f t="shared" si="26"/>
        <v>3808.0261848676091</v>
      </c>
      <c r="W69" s="19">
        <f t="shared" si="27"/>
        <v>8075.4853843487981</v>
      </c>
      <c r="X69" s="19">
        <f t="shared" si="28"/>
        <v>17072.132186437619</v>
      </c>
      <c r="Z69" s="24">
        <f t="shared" si="29"/>
        <v>375425.74335008377</v>
      </c>
      <c r="AA69" s="24">
        <f t="shared" si="30"/>
        <v>79614.607572276625</v>
      </c>
      <c r="AB69" s="24">
        <f t="shared" si="31"/>
        <v>16831.076272882987</v>
      </c>
      <c r="AC69" s="24"/>
      <c r="AD69" s="24">
        <v>3212.5008823220878</v>
      </c>
      <c r="AE69" s="24">
        <v>7211.6035800600157</v>
      </c>
      <c r="AF69" s="24">
        <v>16309.264973402638</v>
      </c>
      <c r="AG69" s="24"/>
      <c r="AH69" s="24">
        <f t="shared" si="25"/>
        <v>316714.08577787917</v>
      </c>
      <c r="AI69" s="24">
        <f t="shared" si="32"/>
        <v>71097.768328089471</v>
      </c>
      <c r="AJ69" s="24">
        <f t="shared" si="33"/>
        <v>16078.980629031681</v>
      </c>
      <c r="AK69" s="44"/>
      <c r="AL69" s="103">
        <v>1331.3347386999999</v>
      </c>
      <c r="AM69" s="24">
        <v>2963.467635</v>
      </c>
      <c r="AN69" s="24">
        <v>6181.3038815</v>
      </c>
      <c r="AO69" s="44"/>
      <c r="AP69" s="45">
        <f>AL69/'TA1'!I75</f>
        <v>4.3000643769311689E-2</v>
      </c>
      <c r="AQ69" s="45">
        <f>AM69/'TA1'!H75</f>
        <v>3.4199829868800401E-2</v>
      </c>
      <c r="AR69" s="45">
        <f>AN69/'TA1'!F75</f>
        <v>2.4303915021133514E-2</v>
      </c>
      <c r="AS69" s="44"/>
      <c r="AT69" s="103">
        <v>1286.9665944999999</v>
      </c>
      <c r="AU69" s="24">
        <v>2887.5676493999999</v>
      </c>
      <c r="AV69" s="24">
        <v>6078.5669191999996</v>
      </c>
      <c r="AW69" s="44"/>
      <c r="AX69" s="45">
        <f>AT69/'TA1'!Q75</f>
        <v>4.6981661033559045E-2</v>
      </c>
      <c r="AY69" s="45">
        <f>AU69/'TA1'!P75</f>
        <v>3.7400746043635094E-2</v>
      </c>
      <c r="AZ69" s="45">
        <f>AV69/'TA1'!N75</f>
        <v>2.6736208968487007E-2</v>
      </c>
      <c r="BB69" s="103">
        <v>1189.363392</v>
      </c>
      <c r="BC69" s="24">
        <v>2638.2889608</v>
      </c>
      <c r="BD69" s="24">
        <v>5927.2998428000001</v>
      </c>
      <c r="BE69" s="44"/>
      <c r="BF69" s="45">
        <f>BB69/'TA1'!AJ75</f>
        <v>3.1280497605217436E-2</v>
      </c>
      <c r="BG69" s="45">
        <f>BC69/'TA1'!AI75</f>
        <v>2.5247772222483665E-2</v>
      </c>
      <c r="BH69" s="45">
        <f>BD69/'TA1'!AG75</f>
        <v>1.9731990798323072E-2</v>
      </c>
    </row>
    <row r="70" spans="1:60" s="20" customFormat="1">
      <c r="A70" s="15">
        <v>1982</v>
      </c>
      <c r="B70" s="45">
        <v>8.4223732352256775E-2</v>
      </c>
      <c r="C70" s="45">
        <v>5.9816155582666397E-2</v>
      </c>
      <c r="D70" s="45">
        <v>4.1003189980983734E-2</v>
      </c>
      <c r="E70" s="16"/>
      <c r="F70" s="100">
        <v>2.3582679725645543</v>
      </c>
      <c r="G70" s="17"/>
      <c r="H70" s="101">
        <v>0.77472867772956111</v>
      </c>
      <c r="I70" s="101">
        <v>2.4502879917508942</v>
      </c>
      <c r="J70" s="101">
        <v>8.3899380716959886</v>
      </c>
      <c r="K70" s="18"/>
      <c r="L70" s="23">
        <v>1907974.3295260852</v>
      </c>
      <c r="M70" s="23">
        <f t="shared" si="34"/>
        <v>14781.624294556899</v>
      </c>
      <c r="N70" s="23">
        <f t="shared" si="35"/>
        <v>46750.865882067301</v>
      </c>
      <c r="O70" s="23">
        <f t="shared" si="36"/>
        <v>160077.8646710953</v>
      </c>
      <c r="P70" s="23"/>
      <c r="Q70" s="102">
        <v>103250.43781266264</v>
      </c>
      <c r="R70" s="19">
        <f t="shared" ref="R70:R104" si="37">$Q70*0.0001</f>
        <v>10.325043781266265</v>
      </c>
      <c r="S70" s="19">
        <f t="shared" ref="S70:S104" si="38">$Q70*0.001</f>
        <v>103.25043781266264</v>
      </c>
      <c r="T70" s="19">
        <f t="shared" si="15"/>
        <v>1032.5043781266263</v>
      </c>
      <c r="V70" s="19">
        <f t="shared" si="26"/>
        <v>2935.9577101701948</v>
      </c>
      <c r="W70" s="19">
        <f t="shared" si="27"/>
        <v>6594.7951382911333</v>
      </c>
      <c r="X70" s="19">
        <f t="shared" si="28"/>
        <v>15478.970794745655</v>
      </c>
      <c r="Z70" s="24">
        <f t="shared" si="29"/>
        <v>284353.05189670861</v>
      </c>
      <c r="AA70" s="24">
        <f t="shared" si="30"/>
        <v>63871.837040117105</v>
      </c>
      <c r="AB70" s="24">
        <f t="shared" si="31"/>
        <v>14991.675699071286</v>
      </c>
      <c r="AC70" s="24"/>
      <c r="AD70" s="24">
        <v>2846.657852694073</v>
      </c>
      <c r="AE70" s="24">
        <v>6596.8735500701705</v>
      </c>
      <c r="AF70" s="24">
        <v>15394.808242831972</v>
      </c>
      <c r="AG70" s="24"/>
      <c r="AH70" s="24">
        <f t="shared" si="25"/>
        <v>275704.19196275395</v>
      </c>
      <c r="AI70" s="24">
        <f t="shared" si="32"/>
        <v>63891.966850925346</v>
      </c>
      <c r="AJ70" s="24">
        <f t="shared" si="33"/>
        <v>14910.162677241407</v>
      </c>
      <c r="AK70" s="44"/>
      <c r="AL70" s="103">
        <v>1249.0799073000001</v>
      </c>
      <c r="AM70" s="24">
        <v>2830.4469088000001</v>
      </c>
      <c r="AN70" s="24">
        <v>6161.5241497999996</v>
      </c>
      <c r="AO70" s="44"/>
      <c r="AP70" s="45">
        <f>AL70/'TA1'!I76</f>
        <v>3.6280987431972611E-2</v>
      </c>
      <c r="AQ70" s="45">
        <f>AM70/'TA1'!H76</f>
        <v>2.9996234271212192E-2</v>
      </c>
      <c r="AR70" s="45">
        <f>AN70/'TA1'!F76</f>
        <v>2.3045733951047642E-2</v>
      </c>
      <c r="AS70" s="44"/>
      <c r="AT70" s="103">
        <v>1224.3354356</v>
      </c>
      <c r="AU70" s="24">
        <v>2776.2448027999999</v>
      </c>
      <c r="AV70" s="24">
        <v>6072.0212020999998</v>
      </c>
      <c r="AW70" s="44"/>
      <c r="AX70" s="45">
        <f>AT70/'TA1'!Q76</f>
        <v>3.9608645043176953E-2</v>
      </c>
      <c r="AY70" s="45">
        <f>AU70/'TA1'!P76</f>
        <v>3.2657498540578214E-2</v>
      </c>
      <c r="AZ70" s="45">
        <f>AV70/'TA1'!N76</f>
        <v>2.5057519501477402E-2</v>
      </c>
      <c r="BB70" s="103">
        <v>1128.8266871999999</v>
      </c>
      <c r="BC70" s="24">
        <v>2565.8370381</v>
      </c>
      <c r="BD70" s="24">
        <v>5968.7316045999996</v>
      </c>
      <c r="BE70" s="44"/>
      <c r="BF70" s="45">
        <f>BB70/'TA1'!AJ76</f>
        <v>2.6580982555566159E-2</v>
      </c>
      <c r="BG70" s="45">
        <f>BC70/'TA1'!AI76</f>
        <v>2.2148412156802039E-2</v>
      </c>
      <c r="BH70" s="45">
        <f>BD70/'TA1'!AG76</f>
        <v>1.8681278101455253E-2</v>
      </c>
    </row>
    <row r="71" spans="1:60" s="20" customFormat="1">
      <c r="A71" s="15">
        <v>1983</v>
      </c>
      <c r="B71" s="45">
        <v>7.9008191823959351E-2</v>
      </c>
      <c r="C71" s="45">
        <v>6.622517853975296E-2</v>
      </c>
      <c r="D71" s="45">
        <v>4.5149113982915878E-2</v>
      </c>
      <c r="E71" s="16"/>
      <c r="F71" s="100">
        <v>2.261730687137935</v>
      </c>
      <c r="G71" s="17"/>
      <c r="H71" s="101">
        <v>0.87149098939761926</v>
      </c>
      <c r="I71" s="101">
        <v>2.6085192896377505</v>
      </c>
      <c r="J71" s="101">
        <v>8.5929026489475131</v>
      </c>
      <c r="K71" s="18"/>
      <c r="L71" s="23">
        <v>2004401.9868750633</v>
      </c>
      <c r="M71" s="23">
        <f t="shared" si="34"/>
        <v>17468.182706923028</v>
      </c>
      <c r="N71" s="23">
        <f t="shared" si="35"/>
        <v>52285.212469518359</v>
      </c>
      <c r="O71" s="23">
        <f t="shared" si="36"/>
        <v>172236.31142574389</v>
      </c>
      <c r="P71" s="23"/>
      <c r="Q71" s="102">
        <v>105066.9706211951</v>
      </c>
      <c r="R71" s="19">
        <f t="shared" si="37"/>
        <v>10.50669706211951</v>
      </c>
      <c r="S71" s="19">
        <f t="shared" si="38"/>
        <v>105.0669706211951</v>
      </c>
      <c r="T71" s="19">
        <f t="shared" si="15"/>
        <v>1050.6697062119511</v>
      </c>
      <c r="V71" s="19">
        <f t="shared" si="26"/>
        <v>3121.4813105079406</v>
      </c>
      <c r="W71" s="19">
        <f t="shared" si="27"/>
        <v>7831.4630925794345</v>
      </c>
      <c r="X71" s="19">
        <f t="shared" si="28"/>
        <v>17587.934467385021</v>
      </c>
      <c r="Z71" s="24">
        <f t="shared" si="29"/>
        <v>297094.44291127642</v>
      </c>
      <c r="AA71" s="24">
        <f t="shared" si="30"/>
        <v>74537.821413113037</v>
      </c>
      <c r="AB71" s="24">
        <f t="shared" si="31"/>
        <v>16739.736915796271</v>
      </c>
      <c r="AC71" s="24"/>
      <c r="AD71" s="24">
        <v>2974.7657713022418</v>
      </c>
      <c r="AE71" s="24">
        <v>7198.7779787235968</v>
      </c>
      <c r="AF71" s="24">
        <v>17080.72603653327</v>
      </c>
      <c r="AG71" s="24"/>
      <c r="AH71" s="24">
        <f t="shared" si="25"/>
        <v>283130.44087159995</v>
      </c>
      <c r="AI71" s="24">
        <f t="shared" si="32"/>
        <v>68516.089653691728</v>
      </c>
      <c r="AJ71" s="24">
        <f t="shared" si="33"/>
        <v>16256.989171331057</v>
      </c>
      <c r="AK71" s="44"/>
      <c r="AL71" s="103">
        <v>1402.396688</v>
      </c>
      <c r="AM71" s="24">
        <v>3330.6263206000003</v>
      </c>
      <c r="AN71" s="24">
        <v>7238.5029934999993</v>
      </c>
      <c r="AO71" s="44"/>
      <c r="AP71" s="45">
        <f>AL71/'TA1'!I77</f>
        <v>3.622621582796394E-2</v>
      </c>
      <c r="AQ71" s="45">
        <f>AM71/'TA1'!H77</f>
        <v>3.2158357715755488E-2</v>
      </c>
      <c r="AR71" s="45">
        <f>AN71/'TA1'!F77</f>
        <v>2.4786269951115412E-2</v>
      </c>
      <c r="AS71" s="44"/>
      <c r="AT71" s="103">
        <v>1377.1702533</v>
      </c>
      <c r="AU71" s="24">
        <v>3211.2708086000002</v>
      </c>
      <c r="AV71" s="24">
        <v>7155.9709947999991</v>
      </c>
      <c r="AW71" s="44"/>
      <c r="AX71" s="45">
        <f>AT71/'TA1'!Q77</f>
        <v>3.9596616485525697E-2</v>
      </c>
      <c r="AY71" s="45">
        <f>AU71/'TA1'!P77</f>
        <v>3.4350950291569725E-2</v>
      </c>
      <c r="AZ71" s="45">
        <f>AV71/'TA1'!N77</f>
        <v>2.7108638477339107E-2</v>
      </c>
      <c r="BB71" s="103">
        <v>1207.8018496</v>
      </c>
      <c r="BC71" s="24">
        <v>2946.9575675999999</v>
      </c>
      <c r="BD71" s="24">
        <v>6881.1313721999995</v>
      </c>
      <c r="BE71" s="44"/>
      <c r="BF71" s="45">
        <f>BB71/'TA1'!AJ77</f>
        <v>2.6361038497102748E-2</v>
      </c>
      <c r="BG71" s="45">
        <f>BC71/'TA1'!AI77</f>
        <v>2.3331010821818023E-2</v>
      </c>
      <c r="BH71" s="45">
        <f>BD71/'TA1'!AG77</f>
        <v>1.9560714800335333E-2</v>
      </c>
    </row>
    <row r="72" spans="1:60" s="20" customFormat="1">
      <c r="A72" s="15">
        <v>1984</v>
      </c>
      <c r="B72" s="45">
        <v>8.1439316272735596E-2</v>
      </c>
      <c r="C72" s="45">
        <v>5.7889837771654129E-2</v>
      </c>
      <c r="D72" s="45">
        <v>4.0902420878410339E-2</v>
      </c>
      <c r="E72" s="16"/>
      <c r="F72" s="100">
        <v>2.1727862219134098</v>
      </c>
      <c r="G72" s="17"/>
      <c r="H72" s="101">
        <v>0.98088071430846868</v>
      </c>
      <c r="I72" s="101">
        <v>2.8298315173762867</v>
      </c>
      <c r="J72" s="101">
        <v>8.8863707222620985</v>
      </c>
      <c r="K72" s="18"/>
      <c r="L72" s="23">
        <v>2193702.7680859203</v>
      </c>
      <c r="M72" s="23">
        <f t="shared" si="34"/>
        <v>21517.607381405825</v>
      </c>
      <c r="N72" s="23">
        <f t="shared" si="35"/>
        <v>62078.092328851402</v>
      </c>
      <c r="O72" s="23">
        <f t="shared" si="36"/>
        <v>194940.56051664043</v>
      </c>
      <c r="P72" s="23"/>
      <c r="Q72" s="102">
        <v>106871.14951319493</v>
      </c>
      <c r="R72" s="19">
        <f t="shared" si="37"/>
        <v>10.687114951319494</v>
      </c>
      <c r="S72" s="19">
        <f t="shared" si="38"/>
        <v>106.87114951319494</v>
      </c>
      <c r="T72" s="19">
        <f t="shared" si="15"/>
        <v>1068.7114951319493</v>
      </c>
      <c r="V72" s="19">
        <f t="shared" si="26"/>
        <v>3807.5454529575804</v>
      </c>
      <c r="W72" s="19">
        <f t="shared" si="27"/>
        <v>7808.3216259393075</v>
      </c>
      <c r="X72" s="19">
        <f t="shared" si="28"/>
        <v>17324.799704229692</v>
      </c>
      <c r="Z72" s="24">
        <f t="shared" si="29"/>
        <v>356274.39868488349</v>
      </c>
      <c r="AA72" s="24">
        <f t="shared" si="30"/>
        <v>73062.951615162019</v>
      </c>
      <c r="AB72" s="24">
        <f t="shared" si="31"/>
        <v>16210.922950810662</v>
      </c>
      <c r="AC72" s="24"/>
      <c r="AD72" s="24">
        <v>3580.5117266401003</v>
      </c>
      <c r="AE72" s="24">
        <v>7652.2063386155069</v>
      </c>
      <c r="AF72" s="24">
        <v>18564.826251971506</v>
      </c>
      <c r="AG72" s="24"/>
      <c r="AH72" s="24">
        <f t="shared" si="25"/>
        <v>335030.71155775577</v>
      </c>
      <c r="AI72" s="24">
        <f t="shared" si="32"/>
        <v>71602.171151632661</v>
      </c>
      <c r="AJ72" s="24">
        <f t="shared" si="33"/>
        <v>17371.223512178454</v>
      </c>
      <c r="AK72" s="44"/>
      <c r="AL72" s="103">
        <v>1713.9880186</v>
      </c>
      <c r="AM72" s="24">
        <v>4156.2660059</v>
      </c>
      <c r="AN72" s="24">
        <v>8204.3635618999997</v>
      </c>
      <c r="AO72" s="44"/>
      <c r="AP72" s="45">
        <f>AL72/'TA1'!I78</f>
        <v>3.5671277579393396E-2</v>
      </c>
      <c r="AQ72" s="45">
        <f>AM72/'TA1'!H78</f>
        <v>3.3196602139898737E-2</v>
      </c>
      <c r="AR72" s="45">
        <f>AN72/'TA1'!F78</f>
        <v>2.3820111569044421E-2</v>
      </c>
      <c r="AS72" s="44"/>
      <c r="AT72" s="103">
        <v>1676.4638212</v>
      </c>
      <c r="AU72" s="24">
        <v>3420.6025004000003</v>
      </c>
      <c r="AV72" s="24">
        <v>8079.6739960000004</v>
      </c>
      <c r="AW72" s="44"/>
      <c r="AX72" s="45">
        <f>AT72/'TA1'!Q78</f>
        <v>3.8375458545425303E-2</v>
      </c>
      <c r="AY72" s="45">
        <f>AU72/'TA1'!P78</f>
        <v>3.0118314893550956E-2</v>
      </c>
      <c r="AZ72" s="45">
        <f>AV72/'TA1'!N78</f>
        <v>2.5734929875871119E-2</v>
      </c>
      <c r="BB72" s="103">
        <v>1508.9632956</v>
      </c>
      <c r="BC72" s="24">
        <v>3311.2582883</v>
      </c>
      <c r="BD72" s="24">
        <v>7887.1737513000007</v>
      </c>
      <c r="BE72" s="44"/>
      <c r="BF72" s="45">
        <f>BB72/'TA1'!AJ78</f>
        <v>2.5046679999413256E-2</v>
      </c>
      <c r="BG72" s="45">
        <f>BC72/'TA1'!AI78</f>
        <v>2.036116894112976E-2</v>
      </c>
      <c r="BH72" s="45">
        <f>BD72/'TA1'!AG78</f>
        <v>1.8350803051845749E-2</v>
      </c>
    </row>
    <row r="73" spans="1:60" s="20" customFormat="1">
      <c r="A73" s="15">
        <v>1985</v>
      </c>
      <c r="B73" s="45">
        <v>7.8300096094608307E-2</v>
      </c>
      <c r="C73" s="45">
        <v>6.9753624498844147E-2</v>
      </c>
      <c r="D73" s="45">
        <v>4.4957898557186127E-2</v>
      </c>
      <c r="E73" s="16"/>
      <c r="F73" s="100">
        <v>2.1006659791824274</v>
      </c>
      <c r="G73" s="17"/>
      <c r="H73" s="101">
        <v>0.97047439116255096</v>
      </c>
      <c r="I73" s="101">
        <v>2.9108288189871891</v>
      </c>
      <c r="J73" s="101">
        <v>9.0945605795137041</v>
      </c>
      <c r="K73" s="18"/>
      <c r="L73" s="23">
        <v>2349494.8790044314</v>
      </c>
      <c r="M73" s="23">
        <f t="shared" si="34"/>
        <v>22801.24612241357</v>
      </c>
      <c r="N73" s="23">
        <f t="shared" si="35"/>
        <v>68389.774038689182</v>
      </c>
      <c r="O73" s="23">
        <f t="shared" si="36"/>
        <v>213676.23508363022</v>
      </c>
      <c r="P73" s="23"/>
      <c r="Q73" s="102">
        <v>108736.06385144978</v>
      </c>
      <c r="R73" s="19">
        <f t="shared" si="37"/>
        <v>10.87360638514498</v>
      </c>
      <c r="S73" s="19">
        <f t="shared" si="38"/>
        <v>108.73606385144979</v>
      </c>
      <c r="T73" s="19">
        <f t="shared" si="15"/>
        <v>1087.3606385144979</v>
      </c>
      <c r="V73" s="19">
        <f t="shared" si="26"/>
        <v>3750.4025002851345</v>
      </c>
      <c r="W73" s="19">
        <f t="shared" si="27"/>
        <v>10021.089707643225</v>
      </c>
      <c r="X73" s="19">
        <f t="shared" si="28"/>
        <v>20179.910137434737</v>
      </c>
      <c r="Z73" s="24">
        <f t="shared" si="29"/>
        <v>344908.7972697597</v>
      </c>
      <c r="AA73" s="24">
        <f t="shared" si="30"/>
        <v>92159.76146914401</v>
      </c>
      <c r="AB73" s="24">
        <f t="shared" si="31"/>
        <v>18558.617465686089</v>
      </c>
      <c r="AC73" s="24"/>
      <c r="AD73" s="24">
        <v>3989.80115130487</v>
      </c>
      <c r="AE73" s="24">
        <v>10502.034259963559</v>
      </c>
      <c r="AF73" s="24">
        <v>22578.396093180138</v>
      </c>
      <c r="AG73" s="24"/>
      <c r="AH73" s="24">
        <f t="shared" si="25"/>
        <v>366925.28770910384</v>
      </c>
      <c r="AI73" s="24">
        <f t="shared" si="32"/>
        <v>96582.806917776194</v>
      </c>
      <c r="AJ73" s="24">
        <f t="shared" si="33"/>
        <v>20764.404461086349</v>
      </c>
      <c r="AK73" s="44"/>
      <c r="AL73" s="103">
        <v>1944.3615463000001</v>
      </c>
      <c r="AM73" s="24">
        <v>5727.1207696000001</v>
      </c>
      <c r="AN73" s="24">
        <v>10505.331652000001</v>
      </c>
      <c r="AO73" s="44"/>
      <c r="AP73" s="45">
        <f>AL73/'TA1'!I79</f>
        <v>3.8500318359159715E-2</v>
      </c>
      <c r="AQ73" s="45">
        <f>AM73/'TA1'!H79</f>
        <v>4.1541581198006411E-2</v>
      </c>
      <c r="AR73" s="45">
        <f>AN73/'TA1'!F79</f>
        <v>2.8634886968590022E-2</v>
      </c>
      <c r="AS73" s="44"/>
      <c r="AT73" s="103">
        <v>1900.739135</v>
      </c>
      <c r="AU73" s="24">
        <v>5670.4836439999999</v>
      </c>
      <c r="AV73" s="24">
        <v>10489.4478722</v>
      </c>
      <c r="AW73" s="44"/>
      <c r="AX73" s="45">
        <f>AT73/'TA1'!Q79</f>
        <v>4.1496770177216834E-2</v>
      </c>
      <c r="AY73" s="45">
        <f>AU73/'TA1'!P79</f>
        <v>4.5132321036752403E-2</v>
      </c>
      <c r="AZ73" s="45">
        <f>AV73/'TA1'!N79</f>
        <v>3.1333993328928236E-2</v>
      </c>
      <c r="BB73" s="103">
        <v>1750.0071462000001</v>
      </c>
      <c r="BC73" s="24">
        <v>4600.5390817000007</v>
      </c>
      <c r="BD73" s="24">
        <v>9976.8258330000008</v>
      </c>
      <c r="BE73" s="44"/>
      <c r="BF73" s="45">
        <f>BB73/'TA1'!AJ79</f>
        <v>2.8929969459164307E-2</v>
      </c>
      <c r="BG73" s="45">
        <f>BC73/'TA1'!AI79</f>
        <v>2.6578632620525448E-2</v>
      </c>
      <c r="BH73" s="45">
        <f>BD73/'TA1'!AG79</f>
        <v>2.1616426457218202E-2</v>
      </c>
    </row>
    <row r="74" spans="1:60" s="20" customFormat="1">
      <c r="A74" s="15">
        <v>1986</v>
      </c>
      <c r="B74" s="45">
        <v>0.10092118382453918</v>
      </c>
      <c r="C74" s="45">
        <v>7.5141042470932007E-2</v>
      </c>
      <c r="D74" s="45">
        <v>5.8285582810640335E-2</v>
      </c>
      <c r="E74" s="16"/>
      <c r="F74" s="100">
        <v>2.0633097377031908</v>
      </c>
      <c r="G74" s="17"/>
      <c r="H74" s="101">
        <v>0.99694880598681768</v>
      </c>
      <c r="I74" s="101">
        <v>2.8675528945975888</v>
      </c>
      <c r="J74" s="101">
        <v>9.1292990690663967</v>
      </c>
      <c r="K74" s="18"/>
      <c r="L74" s="23">
        <v>2467473.0928211357</v>
      </c>
      <c r="M74" s="23">
        <f t="shared" si="34"/>
        <v>24599.443536926312</v>
      </c>
      <c r="N74" s="23">
        <f t="shared" si="35"/>
        <v>70756.096096609122</v>
      </c>
      <c r="O74" s="23">
        <f t="shared" si="36"/>
        <v>225262.99809238379</v>
      </c>
      <c r="P74" s="23"/>
      <c r="Q74" s="102">
        <v>110683.65034819435</v>
      </c>
      <c r="R74" s="19">
        <f t="shared" si="37"/>
        <v>11.068365034819436</v>
      </c>
      <c r="S74" s="19">
        <f t="shared" si="38"/>
        <v>110.68365034819435</v>
      </c>
      <c r="T74" s="19">
        <f t="shared" si="15"/>
        <v>1106.8365034819435</v>
      </c>
      <c r="V74" s="19">
        <f t="shared" si="26"/>
        <v>5122.3829953820532</v>
      </c>
      <c r="W74" s="19">
        <f t="shared" si="27"/>
        <v>10969.971691888073</v>
      </c>
      <c r="X74" s="19">
        <f t="shared" si="28"/>
        <v>27090.400849673024</v>
      </c>
      <c r="Z74" s="24">
        <f t="shared" si="29"/>
        <v>462794.90957045555</v>
      </c>
      <c r="AA74" s="24">
        <f t="shared" si="30"/>
        <v>99111.039953761632</v>
      </c>
      <c r="AB74" s="24">
        <f t="shared" si="31"/>
        <v>24475.521691280188</v>
      </c>
      <c r="AC74" s="24"/>
      <c r="AD74" s="24">
        <v>5810.4112153364958</v>
      </c>
      <c r="AE74" s="24">
        <v>11970.00318550319</v>
      </c>
      <c r="AF74" s="24">
        <v>31672.228717049078</v>
      </c>
      <c r="AG74" s="24"/>
      <c r="AH74" s="24">
        <f t="shared" si="25"/>
        <v>524956.5944977242</v>
      </c>
      <c r="AI74" s="24">
        <f t="shared" si="32"/>
        <v>108146.08253203916</v>
      </c>
      <c r="AJ74" s="24">
        <f t="shared" si="33"/>
        <v>28615.092308044543</v>
      </c>
      <c r="AK74" s="44"/>
      <c r="AL74" s="103">
        <v>2817.1123014</v>
      </c>
      <c r="AM74" s="24">
        <v>8171.6213695000006</v>
      </c>
      <c r="AN74" s="24">
        <v>15057.126256400001</v>
      </c>
      <c r="AO74" s="44"/>
      <c r="AP74" s="45">
        <f>AL74/'TA1'!I80</f>
        <v>5.4616693479326718E-2</v>
      </c>
      <c r="AQ74" s="45">
        <f>AM74/'TA1'!H80</f>
        <v>6.0020254462487072E-2</v>
      </c>
      <c r="AR74" s="45">
        <f>AN74/'TA1'!F80</f>
        <v>4.0200127951175606E-2</v>
      </c>
      <c r="AS74" s="44"/>
      <c r="AT74" s="103">
        <v>2726.3711489000002</v>
      </c>
      <c r="AU74" s="24">
        <v>8024.1377081999999</v>
      </c>
      <c r="AV74" s="24">
        <v>14944.524643499999</v>
      </c>
      <c r="AW74" s="44"/>
      <c r="AX74" s="45">
        <f>AT74/'TA1'!Q80</f>
        <v>5.8062240478808404E-2</v>
      </c>
      <c r="AY74" s="45">
        <f>AU74/'TA1'!P80</f>
        <v>6.5090558891373412E-2</v>
      </c>
      <c r="AZ74" s="45">
        <f>AV74/'TA1'!N80</f>
        <v>4.4287306885488993E-2</v>
      </c>
      <c r="BB74" s="103">
        <v>2586.3763515000001</v>
      </c>
      <c r="BC74" s="24">
        <v>5418.4282194999996</v>
      </c>
      <c r="BD74" s="24">
        <v>14435.916273300001</v>
      </c>
      <c r="BE74" s="44"/>
      <c r="BF74" s="45">
        <f>BB74/'TA1'!AJ80</f>
        <v>4.3438577067789169E-2</v>
      </c>
      <c r="BG74" s="45">
        <f>BC74/'TA1'!AI80</f>
        <v>3.2459699445464389E-2</v>
      </c>
      <c r="BH74" s="45">
        <f>BD74/'TA1'!AG80</f>
        <v>3.0791665974686695E-2</v>
      </c>
    </row>
    <row r="75" spans="1:60" s="20" customFormat="1">
      <c r="A75" s="15">
        <v>1987</v>
      </c>
      <c r="B75" s="45">
        <v>4.7316454350948334E-2</v>
      </c>
      <c r="C75" s="45">
        <v>3.7539046257734299E-2</v>
      </c>
      <c r="D75" s="45">
        <v>3.2533973455429077E-2</v>
      </c>
      <c r="E75" s="16"/>
      <c r="F75" s="100">
        <v>1.995873582285139</v>
      </c>
      <c r="G75" s="17"/>
      <c r="H75" s="101">
        <v>1.3010161292535967</v>
      </c>
      <c r="I75" s="101">
        <v>3.7260942145623082</v>
      </c>
      <c r="J75" s="101">
        <v>10.746260633305884</v>
      </c>
      <c r="K75" s="18"/>
      <c r="L75" s="23">
        <v>2668944.414493544</v>
      </c>
      <c r="M75" s="23">
        <f t="shared" si="34"/>
        <v>34723.397313373971</v>
      </c>
      <c r="N75" s="23">
        <f t="shared" si="35"/>
        <v>99447.383418327809</v>
      </c>
      <c r="O75" s="23">
        <f t="shared" si="36"/>
        <v>286811.72293953592</v>
      </c>
      <c r="P75" s="23"/>
      <c r="Q75" s="102">
        <v>112640.14745716355</v>
      </c>
      <c r="R75" s="19">
        <f t="shared" si="37"/>
        <v>11.264014745716356</v>
      </c>
      <c r="S75" s="19">
        <f t="shared" si="38"/>
        <v>112.64014745716355</v>
      </c>
      <c r="T75" s="19">
        <f t="shared" si="15"/>
        <v>1126.4014745716356</v>
      </c>
      <c r="V75" s="19">
        <f t="shared" si="26"/>
        <v>3279.1964328065983</v>
      </c>
      <c r="W75" s="19">
        <f t="shared" si="27"/>
        <v>7450.9152754499883</v>
      </c>
      <c r="X75" s="19">
        <f t="shared" si="28"/>
        <v>18623.74584222104</v>
      </c>
      <c r="Z75" s="24">
        <f t="shared" si="29"/>
        <v>291121.46129368828</v>
      </c>
      <c r="AA75" s="24">
        <f t="shared" si="30"/>
        <v>66147.95384819193</v>
      </c>
      <c r="AB75" s="24">
        <f t="shared" si="31"/>
        <v>16533.84362738299</v>
      </c>
      <c r="AC75" s="24"/>
      <c r="AD75" s="24">
        <v>3796.1216211906335</v>
      </c>
      <c r="AE75" s="24">
        <v>8608.9512632851765</v>
      </c>
      <c r="AF75" s="24">
        <v>20769.632879074357</v>
      </c>
      <c r="AG75" s="24"/>
      <c r="AH75" s="24">
        <f t="shared" si="25"/>
        <v>337013.19706051325</v>
      </c>
      <c r="AI75" s="24">
        <f t="shared" si="32"/>
        <v>76428.79965652668</v>
      </c>
      <c r="AJ75" s="24">
        <f t="shared" si="33"/>
        <v>18438.925505644365</v>
      </c>
      <c r="AK75" s="44"/>
      <c r="AL75" s="103">
        <v>2108.1841075000002</v>
      </c>
      <c r="AM75" s="24">
        <v>4572.2453696000002</v>
      </c>
      <c r="AN75" s="24">
        <v>10004.5938938</v>
      </c>
      <c r="AO75" s="44"/>
      <c r="AP75" s="45">
        <f>AL75/'TA1'!I81</f>
        <v>3.9225888769657262E-2</v>
      </c>
      <c r="AQ75" s="45">
        <f>AM75/'TA1'!H81</f>
        <v>3.1781078150251794E-2</v>
      </c>
      <c r="AR75" s="45">
        <f>AN75/'TA1'!F81</f>
        <v>2.483884826086696E-2</v>
      </c>
      <c r="AS75" s="44"/>
      <c r="AT75" s="103">
        <v>2058.393137</v>
      </c>
      <c r="AU75" s="24">
        <v>4477.8108167</v>
      </c>
      <c r="AV75" s="24">
        <v>9896.3425635999993</v>
      </c>
      <c r="AW75" s="44"/>
      <c r="AX75" s="45">
        <f>AT75/'TA1'!Q81</f>
        <v>4.3023932729335648E-2</v>
      </c>
      <c r="AY75" s="45">
        <f>AU75/'TA1'!P81</f>
        <v>3.4775619047816897E-2</v>
      </c>
      <c r="AZ75" s="45">
        <f>AV75/'TA1'!N81</f>
        <v>2.7325309549246835E-2</v>
      </c>
      <c r="BB75" s="103">
        <v>1734.0432166999999</v>
      </c>
      <c r="BC75" s="24">
        <v>3940.2575314999999</v>
      </c>
      <c r="BD75" s="24">
        <v>9436.5977113999998</v>
      </c>
      <c r="BE75" s="44"/>
      <c r="BF75" s="45">
        <f>BB75/'TA1'!AJ81</f>
        <v>2.456279452625432E-2</v>
      </c>
      <c r="BG75" s="45">
        <f>BC75/'TA1'!AI81</f>
        <v>1.9749337678913185E-2</v>
      </c>
      <c r="BH75" s="45">
        <f>BD75/'TA1'!AG81</f>
        <v>1.7213305280698341E-2</v>
      </c>
    </row>
    <row r="76" spans="1:60" s="20" customFormat="1">
      <c r="A76" s="15">
        <v>1988</v>
      </c>
      <c r="B76" s="45">
        <v>4.424922913312912E-2</v>
      </c>
      <c r="C76" s="45">
        <v>3.3198237419128418E-2</v>
      </c>
      <c r="D76" s="45">
        <v>2.8211774304509163E-2</v>
      </c>
      <c r="E76" s="16"/>
      <c r="F76" s="100">
        <v>1.9252231899918597</v>
      </c>
      <c r="G76" s="17"/>
      <c r="H76" s="101">
        <v>1.9903132937624797</v>
      </c>
      <c r="I76" s="101">
        <v>5.2131868019242154</v>
      </c>
      <c r="J76" s="101">
        <v>13.165480795439365</v>
      </c>
      <c r="K76" s="18"/>
      <c r="L76" s="23">
        <v>2956031.9753831429</v>
      </c>
      <c r="M76" s="23">
        <f t="shared" si="34"/>
        <v>58834.297373920323</v>
      </c>
      <c r="N76" s="23">
        <f t="shared" si="35"/>
        <v>154103.46880133369</v>
      </c>
      <c r="O76" s="23">
        <f t="shared" si="36"/>
        <v>389175.82202611456</v>
      </c>
      <c r="P76" s="23"/>
      <c r="Q76" s="102">
        <v>114656.00857399579</v>
      </c>
      <c r="R76" s="19">
        <f t="shared" si="37"/>
        <v>11.465600857399579</v>
      </c>
      <c r="S76" s="19">
        <f t="shared" si="38"/>
        <v>114.65600857399579</v>
      </c>
      <c r="T76" s="19">
        <f t="shared" si="15"/>
        <v>1146.5600857399579</v>
      </c>
      <c r="V76" s="19">
        <f t="shared" si="26"/>
        <v>5012.0727345102669</v>
      </c>
      <c r="W76" s="19">
        <f t="shared" si="27"/>
        <v>9849.3716547893291</v>
      </c>
      <c r="X76" s="19">
        <f t="shared" si="28"/>
        <v>21137.680856269144</v>
      </c>
      <c r="Z76" s="24">
        <f t="shared" si="29"/>
        <v>437139.99788119388</v>
      </c>
      <c r="AA76" s="24">
        <f t="shared" si="30"/>
        <v>85903.667651510987</v>
      </c>
      <c r="AB76" s="24">
        <f t="shared" si="31"/>
        <v>18435.737576393542</v>
      </c>
      <c r="AC76" s="24"/>
      <c r="AD76" s="24">
        <v>4503.3778812060546</v>
      </c>
      <c r="AE76" s="24">
        <v>9842.2544175471976</v>
      </c>
      <c r="AF76" s="24">
        <v>22011.427246937019</v>
      </c>
      <c r="AG76" s="24"/>
      <c r="AH76" s="24">
        <f t="shared" si="25"/>
        <v>392772.95077821409</v>
      </c>
      <c r="AI76" s="24">
        <f t="shared" si="32"/>
        <v>85841.592952324703</v>
      </c>
      <c r="AJ76" s="24">
        <f t="shared" si="33"/>
        <v>19197.796540014264</v>
      </c>
      <c r="AK76" s="44"/>
      <c r="AL76" s="103">
        <v>2645.9587468999998</v>
      </c>
      <c r="AM76" s="24">
        <v>5435.4690062</v>
      </c>
      <c r="AN76" s="24">
        <v>10913.508355900001</v>
      </c>
      <c r="AO76" s="44"/>
      <c r="AP76" s="45">
        <f>AL76/'TA1'!I82</f>
        <v>3.0154321485286958E-2</v>
      </c>
      <c r="AQ76" s="45">
        <f>AM76/'TA1'!H82</f>
        <v>2.5039869923143516E-2</v>
      </c>
      <c r="AR76" s="45">
        <f>AN76/'TA1'!F82</f>
        <v>2.077034248027659E-2</v>
      </c>
      <c r="AS76" s="44"/>
      <c r="AT76" s="103">
        <v>2594.1972400999998</v>
      </c>
      <c r="AU76" s="24">
        <v>5352.5932272999999</v>
      </c>
      <c r="AV76" s="24">
        <v>10862.2182679</v>
      </c>
      <c r="AW76" s="44"/>
      <c r="AX76" s="45">
        <f>AT76/'TA1'!Q82</f>
        <v>3.3079946191385136E-2</v>
      </c>
      <c r="AY76" s="45">
        <f>AU76/'TA1'!P82</f>
        <v>2.7504782591318378E-2</v>
      </c>
      <c r="AZ76" s="45">
        <f>AV76/'TA1'!N82</f>
        <v>2.3001287012124699E-2</v>
      </c>
      <c r="BB76" s="103">
        <v>2161.7279638999998</v>
      </c>
      <c r="BC76" s="24">
        <v>4678.7696768999995</v>
      </c>
      <c r="BD76" s="24">
        <v>10363.109817600001</v>
      </c>
      <c r="BE76" s="44"/>
      <c r="BF76" s="45">
        <f>BB76/'TA1'!AJ82</f>
        <v>2.0902803738423504E-2</v>
      </c>
      <c r="BG76" s="45">
        <f>BC76/'TA1'!AI82</f>
        <v>1.7438968307508611E-2</v>
      </c>
      <c r="BH76" s="45">
        <f>BD76/'TA1'!AG82</f>
        <v>1.5498118993589896E-2</v>
      </c>
    </row>
    <row r="77" spans="1:60" s="20" customFormat="1">
      <c r="A77" s="15">
        <v>1989</v>
      </c>
      <c r="B77" s="45">
        <v>4.2416885495185852E-2</v>
      </c>
      <c r="C77" s="45">
        <v>3.5197064280509949E-2</v>
      </c>
      <c r="D77" s="45">
        <v>2.9155554249882698E-2</v>
      </c>
      <c r="E77" s="16"/>
      <c r="F77" s="100">
        <v>1.8456010220070427</v>
      </c>
      <c r="G77" s="17"/>
      <c r="H77" s="101">
        <v>1.7404590540249962</v>
      </c>
      <c r="I77" s="101">
        <v>4.7395599467880887</v>
      </c>
      <c r="J77" s="101">
        <v>12.611494478689435</v>
      </c>
      <c r="K77" s="18"/>
      <c r="L77" s="23">
        <v>3130386.7562474776</v>
      </c>
      <c r="M77" s="23">
        <f t="shared" si="34"/>
        <v>54483.099725108616</v>
      </c>
      <c r="N77" s="23">
        <f t="shared" si="35"/>
        <v>148366.55687866433</v>
      </c>
      <c r="O77" s="23">
        <f t="shared" si="36"/>
        <v>394788.55292577593</v>
      </c>
      <c r="P77" s="23"/>
      <c r="Q77" s="102">
        <v>116759.35846722893</v>
      </c>
      <c r="R77" s="19">
        <f t="shared" si="37"/>
        <v>11.675935846722894</v>
      </c>
      <c r="S77" s="19">
        <f t="shared" si="38"/>
        <v>116.75935846722894</v>
      </c>
      <c r="T77" s="19">
        <f t="shared" si="15"/>
        <v>1167.5935846722894</v>
      </c>
      <c r="V77" s="19">
        <f t="shared" si="26"/>
        <v>4265.190241446956</v>
      </c>
      <c r="W77" s="19">
        <f t="shared" si="27"/>
        <v>9637.8526342776604</v>
      </c>
      <c r="X77" s="19">
        <f t="shared" si="28"/>
        <v>21243.382818980484</v>
      </c>
      <c r="Z77" s="24">
        <f t="shared" si="29"/>
        <v>365297.50569365069</v>
      </c>
      <c r="AA77" s="24">
        <f t="shared" si="30"/>
        <v>82544.583670205204</v>
      </c>
      <c r="AB77" s="24">
        <f t="shared" si="31"/>
        <v>18194.158564979527</v>
      </c>
      <c r="AC77" s="24"/>
      <c r="AD77" s="24">
        <v>4585.4498577352661</v>
      </c>
      <c r="AE77" s="24">
        <v>10520.662912532867</v>
      </c>
      <c r="AF77" s="24">
        <v>22933.087590417224</v>
      </c>
      <c r="AG77" s="24"/>
      <c r="AH77" s="24">
        <f t="shared" si="25"/>
        <v>392726.53754964512</v>
      </c>
      <c r="AI77" s="24">
        <f t="shared" si="32"/>
        <v>90105.521738419979</v>
      </c>
      <c r="AJ77" s="24">
        <f t="shared" si="33"/>
        <v>19641.327163384423</v>
      </c>
      <c r="AK77" s="44"/>
      <c r="AL77" s="103">
        <v>2848.3988205999999</v>
      </c>
      <c r="AM77" s="24">
        <v>5832.9010822999999</v>
      </c>
      <c r="AN77" s="24">
        <v>11738.8113815</v>
      </c>
      <c r="AO77" s="44"/>
      <c r="AP77" s="45">
        <f>AL77/'TA1'!I83</f>
        <v>3.3769995912376345E-2</v>
      </c>
      <c r="AQ77" s="45">
        <f>AM77/'TA1'!H83</f>
        <v>2.7485461606526439E-2</v>
      </c>
      <c r="AR77" s="45">
        <f>AN77/'TA1'!F83</f>
        <v>2.1911674376674368E-2</v>
      </c>
      <c r="AS77" s="44"/>
      <c r="AT77" s="103">
        <v>2753.9890547999998</v>
      </c>
      <c r="AU77" s="24">
        <v>5718.4356728999992</v>
      </c>
      <c r="AV77" s="24">
        <v>11701.727638299999</v>
      </c>
      <c r="AW77" s="44"/>
      <c r="AX77" s="45">
        <f>AT77/'TA1'!Q83</f>
        <v>3.6746138255778077E-2</v>
      </c>
      <c r="AY77" s="45">
        <f>AU77/'TA1'!P83</f>
        <v>3.0103872284538837E-2</v>
      </c>
      <c r="AZ77" s="45">
        <f>AV77/'TA1'!N83</f>
        <v>2.4373203737906381E-2</v>
      </c>
      <c r="BB77" s="103">
        <v>2309.0672254000001</v>
      </c>
      <c r="BC77" s="24">
        <v>5203.8254417999997</v>
      </c>
      <c r="BD77" s="24">
        <v>11332.228130199999</v>
      </c>
      <c r="BE77" s="44"/>
      <c r="BF77" s="45">
        <f>BB77/'TA1'!AJ83</f>
        <v>2.3572381668701774E-2</v>
      </c>
      <c r="BG77" s="45">
        <f>BC77/'TA1'!AI83</f>
        <v>1.9673014490935559E-2</v>
      </c>
      <c r="BH77" s="45">
        <f>BD77/'TA1'!AG83</f>
        <v>1.6381879618836595E-2</v>
      </c>
    </row>
    <row r="78" spans="1:60" s="20" customFormat="1">
      <c r="A78" s="15">
        <v>1990</v>
      </c>
      <c r="B78" s="45">
        <v>4.0312815457582474E-2</v>
      </c>
      <c r="C78" s="45">
        <v>3.2312080264091492E-2</v>
      </c>
      <c r="D78" s="45">
        <v>2.7757404372096062E-2</v>
      </c>
      <c r="E78" s="16"/>
      <c r="F78" s="100">
        <v>1.7579815795481222</v>
      </c>
      <c r="G78" s="17"/>
      <c r="H78" s="101">
        <v>1.8256768906314789</v>
      </c>
      <c r="I78" s="101">
        <v>4.8984373327550852</v>
      </c>
      <c r="J78" s="101">
        <v>12.981647252493072</v>
      </c>
      <c r="K78" s="18"/>
      <c r="L78" s="23">
        <v>3327453.7223950801</v>
      </c>
      <c r="M78" s="23">
        <f t="shared" si="34"/>
        <v>60748.553656223899</v>
      </c>
      <c r="N78" s="23">
        <f t="shared" si="35"/>
        <v>162993.23536794935</v>
      </c>
      <c r="O78" s="23">
        <f t="shared" si="36"/>
        <v>431958.30473127938</v>
      </c>
      <c r="P78" s="23"/>
      <c r="Q78" s="102">
        <v>119055</v>
      </c>
      <c r="R78" s="19">
        <f t="shared" si="37"/>
        <v>11.9055</v>
      </c>
      <c r="S78" s="19">
        <f t="shared" si="38"/>
        <v>119.05500000000001</v>
      </c>
      <c r="T78" s="19">
        <f t="shared" si="15"/>
        <v>1190.55</v>
      </c>
      <c r="V78" s="19">
        <f t="shared" si="26"/>
        <v>4305.2006086872561</v>
      </c>
      <c r="W78" s="19">
        <f t="shared" si="27"/>
        <v>9258.6745714455319</v>
      </c>
      <c r="X78" s="19">
        <f t="shared" si="28"/>
        <v>21078.271807255671</v>
      </c>
      <c r="Z78" s="24">
        <f t="shared" si="29"/>
        <v>361614.43103500531</v>
      </c>
      <c r="AA78" s="24">
        <f t="shared" si="30"/>
        <v>77768.044781366014</v>
      </c>
      <c r="AB78" s="24">
        <f t="shared" si="31"/>
        <v>17704.650629755721</v>
      </c>
      <c r="AC78" s="24"/>
      <c r="AD78" s="24">
        <v>4692.8631723248836</v>
      </c>
      <c r="AE78" s="24">
        <v>9960.8106352165996</v>
      </c>
      <c r="AF78" s="24">
        <v>22317.570040213053</v>
      </c>
      <c r="AG78" s="24"/>
      <c r="AH78" s="24">
        <f t="shared" si="25"/>
        <v>394176.06755910156</v>
      </c>
      <c r="AI78" s="24">
        <f t="shared" si="32"/>
        <v>83665.622067251272</v>
      </c>
      <c r="AJ78" s="24">
        <f t="shared" si="33"/>
        <v>18745.596606789342</v>
      </c>
      <c r="AK78" s="44"/>
      <c r="AL78" s="103">
        <v>2903.3717471999998</v>
      </c>
      <c r="AM78" s="24">
        <v>5838.8617892000002</v>
      </c>
      <c r="AN78" s="24">
        <v>11903.290953700001</v>
      </c>
      <c r="AO78" s="44"/>
      <c r="AP78" s="45">
        <f>AL78/'TA1'!I84</f>
        <v>3.2735131441125831E-2</v>
      </c>
      <c r="AQ78" s="45">
        <f>AM78/'TA1'!H84</f>
        <v>2.6092180958470067E-2</v>
      </c>
      <c r="AR78" s="45">
        <f>AN78/'TA1'!F84</f>
        <v>2.0795297589198351E-2</v>
      </c>
      <c r="AS78" s="44"/>
      <c r="AT78" s="103">
        <v>2841.1664522000001</v>
      </c>
      <c r="AU78" s="24">
        <v>5752.8521338999999</v>
      </c>
      <c r="AV78" s="24">
        <v>11882.8046144</v>
      </c>
      <c r="AW78" s="44"/>
      <c r="AX78" s="45">
        <f>AT78/'TA1'!Q84</f>
        <v>3.5997081863850894E-2</v>
      </c>
      <c r="AY78" s="45">
        <f>AU78/'TA1'!P84</f>
        <v>2.8760864004989818E-2</v>
      </c>
      <c r="AZ78" s="45">
        <f>AV78/'TA1'!N84</f>
        <v>2.3250365758585533E-2</v>
      </c>
      <c r="BB78" s="103">
        <v>2450.3824502000002</v>
      </c>
      <c r="BC78" s="24">
        <v>5225.6913784999997</v>
      </c>
      <c r="BD78" s="24">
        <v>11547.305346900001</v>
      </c>
      <c r="BE78" s="44"/>
      <c r="BF78" s="45">
        <f>BB78/'TA1'!AJ84</f>
        <v>2.3678513833802421E-2</v>
      </c>
      <c r="BG78" s="45">
        <f>BC78/'TA1'!AI84</f>
        <v>1.871123049989358E-2</v>
      </c>
      <c r="BH78" s="45">
        <f>BD78/'TA1'!AG84</f>
        <v>1.5766006970535634E-2</v>
      </c>
    </row>
    <row r="79" spans="1:60" s="20" customFormat="1">
      <c r="A79" s="15">
        <v>1991</v>
      </c>
      <c r="B79" s="45">
        <v>7.1500591933727264E-2</v>
      </c>
      <c r="C79" s="45">
        <v>4.6827960759401321E-2</v>
      </c>
      <c r="D79" s="45">
        <v>3.4651607275009155E-2</v>
      </c>
      <c r="E79" s="16"/>
      <c r="F79" s="100">
        <v>1.6971250743565491</v>
      </c>
      <c r="G79" s="17"/>
      <c r="H79" s="101">
        <v>1.6079501141719093</v>
      </c>
      <c r="I79" s="101">
        <v>4.3571285075582473</v>
      </c>
      <c r="J79" s="101">
        <v>12.167379448376485</v>
      </c>
      <c r="K79" s="18"/>
      <c r="L79" s="23">
        <v>3387468.4359324332</v>
      </c>
      <c r="M79" s="23">
        <f t="shared" si="34"/>
        <v>54468.802583112949</v>
      </c>
      <c r="N79" s="23">
        <f t="shared" si="35"/>
        <v>147596.35290654952</v>
      </c>
      <c r="O79" s="23">
        <f t="shared" si="36"/>
        <v>412166.13829388318</v>
      </c>
      <c r="P79" s="23"/>
      <c r="Q79" s="102">
        <v>120453.26162647238</v>
      </c>
      <c r="R79" s="19">
        <f t="shared" si="37"/>
        <v>12.045326162647239</v>
      </c>
      <c r="S79" s="19">
        <f t="shared" si="38"/>
        <v>120.45326162647238</v>
      </c>
      <c r="T79" s="19">
        <f t="shared" si="15"/>
        <v>1204.5326162647239</v>
      </c>
      <c r="V79" s="19">
        <f t="shared" si="26"/>
        <v>6609.5412189025483</v>
      </c>
      <c r="W79" s="19">
        <f t="shared" si="27"/>
        <v>11729.911137422476</v>
      </c>
      <c r="X79" s="19">
        <f t="shared" si="28"/>
        <v>24238.712247470885</v>
      </c>
      <c r="Z79" s="24">
        <f t="shared" si="29"/>
        <v>548722.47788514406</v>
      </c>
      <c r="AA79" s="24">
        <f t="shared" si="30"/>
        <v>97381.432258738903</v>
      </c>
      <c r="AB79" s="24">
        <f t="shared" si="31"/>
        <v>20122.918981335304</v>
      </c>
      <c r="AC79" s="24"/>
      <c r="AD79" s="24">
        <v>4394.7257463957385</v>
      </c>
      <c r="AE79" s="24">
        <v>9819.0372798259541</v>
      </c>
      <c r="AF79" s="24">
        <v>22558.099811248045</v>
      </c>
      <c r="AG79" s="24"/>
      <c r="AH79" s="24">
        <f t="shared" si="25"/>
        <v>364849.04493693647</v>
      </c>
      <c r="AI79" s="24">
        <f t="shared" si="32"/>
        <v>81517.404736411001</v>
      </c>
      <c r="AJ79" s="24">
        <f t="shared" si="33"/>
        <v>18727.678691840738</v>
      </c>
      <c r="AK79" s="44"/>
      <c r="AL79" s="103">
        <v>2840.7925326999998</v>
      </c>
      <c r="AM79" s="24">
        <v>6045.2206361999997</v>
      </c>
      <c r="AN79" s="24">
        <v>12850.8338057</v>
      </c>
      <c r="AO79" s="44"/>
      <c r="AP79" s="45">
        <f>AL79/'TA1'!I85</f>
        <v>3.3803811743243782E-2</v>
      </c>
      <c r="AQ79" s="45">
        <f>AM79/'TA1'!H85</f>
        <v>2.7977342414867466E-2</v>
      </c>
      <c r="AR79" s="45">
        <f>AN79/'TA1'!F85</f>
        <v>2.2580583120409406E-2</v>
      </c>
      <c r="AS79" s="44"/>
      <c r="AT79" s="103">
        <v>2765.8399964999999</v>
      </c>
      <c r="AU79" s="24">
        <v>5957.1537905999994</v>
      </c>
      <c r="AV79" s="24">
        <v>12775.532608199999</v>
      </c>
      <c r="AW79" s="44"/>
      <c r="AX79" s="45">
        <f>AT79/'TA1'!Q85</f>
        <v>3.7487130459838779E-2</v>
      </c>
      <c r="AY79" s="45">
        <f>AU79/'TA1'!P85</f>
        <v>3.1177656235776882E-2</v>
      </c>
      <c r="AZ79" s="45">
        <f>AV79/'TA1'!N85</f>
        <v>2.5389925025011577E-2</v>
      </c>
      <c r="BB79" s="103">
        <v>2364.2066516</v>
      </c>
      <c r="BC79" s="24">
        <v>5282.9654326999998</v>
      </c>
      <c r="BD79" s="24">
        <v>11955.412086799999</v>
      </c>
      <c r="BE79" s="44"/>
      <c r="BF79" s="45">
        <f>BB79/'TA1'!AJ85</f>
        <v>2.3773604421644747E-2</v>
      </c>
      <c r="BG79" s="45">
        <f>BC79/'TA1'!AI85</f>
        <v>1.9857074092465461E-2</v>
      </c>
      <c r="BH79" s="45">
        <f>BD79/'TA1'!AG85</f>
        <v>1.659458542341705E-2</v>
      </c>
    </row>
    <row r="80" spans="1:60" s="20" customFormat="1">
      <c r="A80" s="15">
        <v>1992</v>
      </c>
      <c r="B80" s="45">
        <v>3.5154171288013458E-2</v>
      </c>
      <c r="C80" s="45">
        <v>3.0727021396160126E-2</v>
      </c>
      <c r="D80" s="45">
        <v>2.7442077174782753E-2</v>
      </c>
      <c r="E80" s="16"/>
      <c r="F80" s="100">
        <v>1.6551609736116417</v>
      </c>
      <c r="G80" s="17"/>
      <c r="H80" s="101">
        <v>2.0168169424359199</v>
      </c>
      <c r="I80" s="101">
        <v>5.2138683527103185</v>
      </c>
      <c r="J80" s="101">
        <v>13.479744861469998</v>
      </c>
      <c r="K80" s="18"/>
      <c r="L80" s="23">
        <v>3545787.1496270443</v>
      </c>
      <c r="M80" s="23">
        <f t="shared" si="34"/>
        <v>71512.035976393905</v>
      </c>
      <c r="N80" s="23">
        <f t="shared" si="35"/>
        <v>184872.67404887374</v>
      </c>
      <c r="O80" s="23">
        <f t="shared" si="36"/>
        <v>477963.06110051495</v>
      </c>
      <c r="P80" s="23"/>
      <c r="Q80" s="102">
        <v>121944.05147316495</v>
      </c>
      <c r="R80" s="19">
        <f t="shared" si="37"/>
        <v>12.194405147316495</v>
      </c>
      <c r="S80" s="19">
        <f t="shared" si="38"/>
        <v>121.94405147316495</v>
      </c>
      <c r="T80" s="19">
        <f t="shared" si="15"/>
        <v>1219.4405147316495</v>
      </c>
      <c r="V80" s="19">
        <f t="shared" si="26"/>
        <v>4160.9859079180951</v>
      </c>
      <c r="W80" s="19">
        <f t="shared" si="27"/>
        <v>9402.2852658557349</v>
      </c>
      <c r="X80" s="19">
        <f t="shared" si="28"/>
        <v>21709.586569638155</v>
      </c>
      <c r="Z80" s="24">
        <f t="shared" si="29"/>
        <v>341220.90070410387</v>
      </c>
      <c r="AA80" s="24">
        <f t="shared" si="30"/>
        <v>77103.271149924069</v>
      </c>
      <c r="AB80" s="24">
        <f t="shared" si="31"/>
        <v>17802.907404971345</v>
      </c>
      <c r="AC80" s="24"/>
      <c r="AD80" s="24">
        <v>4261.1865863796975</v>
      </c>
      <c r="AE80" s="24">
        <v>9730.5250428606996</v>
      </c>
      <c r="AF80" s="24">
        <v>22270.483643466072</v>
      </c>
      <c r="AG80" s="24"/>
      <c r="AH80" s="24">
        <f t="shared" si="25"/>
        <v>349437.83931251586</v>
      </c>
      <c r="AI80" s="24">
        <f t="shared" si="32"/>
        <v>79794.995535325492</v>
      </c>
      <c r="AJ80" s="24">
        <f t="shared" si="33"/>
        <v>18262.870041157294</v>
      </c>
      <c r="AK80" s="44"/>
      <c r="AL80" s="103">
        <v>2918.8610232999999</v>
      </c>
      <c r="AM80" s="24">
        <v>6247.7265422999999</v>
      </c>
      <c r="AN80" s="24">
        <v>12967.736204699999</v>
      </c>
      <c r="AO80" s="44"/>
      <c r="AP80" s="45">
        <f>AL80/'TA1'!I86</f>
        <v>2.8485059247268813E-2</v>
      </c>
      <c r="AQ80" s="45">
        <f>AM80/'TA1'!H86</f>
        <v>2.4552163027718114E-2</v>
      </c>
      <c r="AR80" s="45">
        <f>AN80/'TA1'!F86</f>
        <v>2.0208021412640387E-2</v>
      </c>
      <c r="AS80" s="44"/>
      <c r="AT80" s="103">
        <v>2865.6137570999999</v>
      </c>
      <c r="AU80" s="24">
        <v>6139.8997144999994</v>
      </c>
      <c r="AV80" s="24">
        <v>12864.615121499999</v>
      </c>
      <c r="AW80" s="44"/>
      <c r="AX80" s="45">
        <f>AT80/'TA1'!Q86</f>
        <v>3.2031207928092088E-2</v>
      </c>
      <c r="AY80" s="45">
        <f>AU80/'TA1'!P86</f>
        <v>2.7368328613909188E-2</v>
      </c>
      <c r="AZ80" s="45">
        <f>AV80/'TA1'!N86</f>
        <v>2.2740696079336705E-2</v>
      </c>
      <c r="BB80" s="103">
        <v>2400.6510291</v>
      </c>
      <c r="BC80" s="24">
        <v>5322.1752189999997</v>
      </c>
      <c r="BD80" s="24">
        <v>12119.128491399999</v>
      </c>
      <c r="BE80" s="44"/>
      <c r="BF80" s="45">
        <f>BB80/'TA1'!AJ86</f>
        <v>1.9120444029501252E-2</v>
      </c>
      <c r="BG80" s="45">
        <f>BC80/'TA1'!AI86</f>
        <v>1.674880049354183E-2</v>
      </c>
      <c r="BH80" s="45">
        <f>BD80/'TA1'!AG86</f>
        <v>1.4676503749513754E-2</v>
      </c>
    </row>
    <row r="81" spans="1:60" s="20" customFormat="1">
      <c r="A81" s="15">
        <v>1993</v>
      </c>
      <c r="B81" s="45">
        <v>5.1010515540838242E-2</v>
      </c>
      <c r="C81" s="45">
        <v>4.1154626756906509E-2</v>
      </c>
      <c r="D81" s="45">
        <v>3.289862722158432E-2</v>
      </c>
      <c r="E81" s="16"/>
      <c r="F81" s="100">
        <v>1.6152220545268132</v>
      </c>
      <c r="G81" s="17"/>
      <c r="H81" s="101">
        <v>1.7375977884318456</v>
      </c>
      <c r="I81" s="101">
        <v>4.7157799883572604</v>
      </c>
      <c r="J81" s="101">
        <v>12.821259920178939</v>
      </c>
      <c r="K81" s="18"/>
      <c r="L81" s="23">
        <v>3622021.4024536484</v>
      </c>
      <c r="M81" s="23">
        <f t="shared" si="34"/>
        <v>62936.163785562712</v>
      </c>
      <c r="N81" s="23">
        <f t="shared" si="35"/>
        <v>170806.56047092614</v>
      </c>
      <c r="O81" s="23">
        <f t="shared" si="36"/>
        <v>464388.7783730927</v>
      </c>
      <c r="P81" s="23"/>
      <c r="Q81" s="102">
        <v>123378.49496791861</v>
      </c>
      <c r="R81" s="19">
        <f t="shared" si="37"/>
        <v>12.337849496791861</v>
      </c>
      <c r="S81" s="19">
        <f t="shared" si="38"/>
        <v>123.37849496791861</v>
      </c>
      <c r="T81" s="19">
        <f t="shared" si="15"/>
        <v>1233.7849496791862</v>
      </c>
      <c r="V81" s="19">
        <f t="shared" si="26"/>
        <v>5185.5188350165918</v>
      </c>
      <c r="W81" s="19">
        <f t="shared" si="27"/>
        <v>11354.171521665578</v>
      </c>
      <c r="X81" s="19">
        <f t="shared" si="28"/>
        <v>24676.964082798095</v>
      </c>
      <c r="Z81" s="24">
        <f t="shared" si="29"/>
        <v>420293.57193609403</v>
      </c>
      <c r="AA81" s="24">
        <f t="shared" si="30"/>
        <v>92027.152095005993</v>
      </c>
      <c r="AB81" s="24">
        <f t="shared" si="31"/>
        <v>20001.025372545435</v>
      </c>
      <c r="AC81" s="24"/>
      <c r="AD81" s="24">
        <v>5615.7569935751753</v>
      </c>
      <c r="AE81" s="24">
        <v>12061.838453341139</v>
      </c>
      <c r="AF81" s="24">
        <v>25953.081014853025</v>
      </c>
      <c r="AG81" s="24"/>
      <c r="AH81" s="24">
        <f t="shared" si="25"/>
        <v>455164.97790278669</v>
      </c>
      <c r="AI81" s="24">
        <f t="shared" si="32"/>
        <v>97762.891794696538</v>
      </c>
      <c r="AJ81" s="24">
        <f t="shared" si="33"/>
        <v>21035.33603777664</v>
      </c>
      <c r="AK81" s="44"/>
      <c r="AL81" s="103">
        <v>3988.2938297000001</v>
      </c>
      <c r="AM81" s="24">
        <v>7978.6986197000006</v>
      </c>
      <c r="AN81" s="24">
        <v>15420.1700946</v>
      </c>
      <c r="AO81" s="44"/>
      <c r="AP81" s="45">
        <f>AL81/'TA1'!I87</f>
        <v>4.1423536557822174E-2</v>
      </c>
      <c r="AQ81" s="45">
        <f>AM81/'TA1'!H87</f>
        <v>3.2864856740963184E-2</v>
      </c>
      <c r="AR81" s="45">
        <f>AN81/'TA1'!F87</f>
        <v>2.4279935183601688E-2</v>
      </c>
      <c r="AS81" s="44"/>
      <c r="AT81" s="103">
        <v>3852.2536110999999</v>
      </c>
      <c r="AU81" s="24">
        <v>7802.8787802999996</v>
      </c>
      <c r="AV81" s="24">
        <v>15313.954797800001</v>
      </c>
      <c r="AW81" s="44"/>
      <c r="AX81" s="45">
        <f>AT81/'TA1'!Q87</f>
        <v>4.6314974338354117E-2</v>
      </c>
      <c r="AY81" s="45">
        <f>AU81/'TA1'!P87</f>
        <v>3.6811163760210153E-2</v>
      </c>
      <c r="AZ81" s="45">
        <f>AV81/'TA1'!N87</f>
        <v>2.7545436207909026E-2</v>
      </c>
      <c r="BB81" s="103">
        <v>3204.1720104999999</v>
      </c>
      <c r="BC81" s="24">
        <v>6868.0206039999994</v>
      </c>
      <c r="BD81" s="24">
        <v>14505.894039699999</v>
      </c>
      <c r="BE81" s="44"/>
      <c r="BF81" s="45">
        <f>BB81/'TA1'!AJ87</f>
        <v>2.4683776502682466E-2</v>
      </c>
      <c r="BG81" s="45">
        <f>BC81/'TA1'!AI87</f>
        <v>2.1273562614635932E-2</v>
      </c>
      <c r="BH81" s="45">
        <f>BD81/'TA1'!AG87</f>
        <v>1.7215100810222119E-2</v>
      </c>
    </row>
    <row r="82" spans="1:60" s="20" customFormat="1">
      <c r="A82" s="15">
        <v>1994</v>
      </c>
      <c r="B82" s="45">
        <v>5.7579375803470612E-2</v>
      </c>
      <c r="C82" s="45">
        <v>4.5033946633338928E-2</v>
      </c>
      <c r="D82" s="45">
        <v>3.4287534654140472E-2</v>
      </c>
      <c r="E82" s="16"/>
      <c r="F82" s="100">
        <v>1.5814645740596467</v>
      </c>
      <c r="G82" s="17"/>
      <c r="H82" s="101">
        <v>1.7322505727484125</v>
      </c>
      <c r="I82" s="101">
        <v>4.7047549418179884</v>
      </c>
      <c r="J82" s="101">
        <v>12.852119853413258</v>
      </c>
      <c r="K82" s="18"/>
      <c r="L82" s="23">
        <v>3805320.5921740835</v>
      </c>
      <c r="M82" s="23">
        <f t="shared" si="34"/>
        <v>65917.68775284884</v>
      </c>
      <c r="N82" s="23">
        <f t="shared" si="35"/>
        <v>179031.00861232771</v>
      </c>
      <c r="O82" s="23">
        <f t="shared" si="36"/>
        <v>489064.3633128283</v>
      </c>
      <c r="P82" s="23"/>
      <c r="Q82" s="102">
        <v>124715.80547807975</v>
      </c>
      <c r="R82" s="19">
        <f t="shared" si="37"/>
        <v>12.471580547807976</v>
      </c>
      <c r="S82" s="19">
        <f t="shared" si="38"/>
        <v>124.71580547807976</v>
      </c>
      <c r="T82" s="19">
        <f t="shared" si="15"/>
        <v>1247.1580547807976</v>
      </c>
      <c r="V82" s="19">
        <f t="shared" si="26"/>
        <v>6002.4477078835162</v>
      </c>
      <c r="W82" s="19">
        <f t="shared" si="27"/>
        <v>12750.515250993172</v>
      </c>
      <c r="X82" s="19">
        <f t="shared" si="28"/>
        <v>26519.281028254816</v>
      </c>
      <c r="Z82" s="24">
        <f t="shared" si="29"/>
        <v>481290.05661102955</v>
      </c>
      <c r="AA82" s="24">
        <f t="shared" si="30"/>
        <v>102236.56257613812</v>
      </c>
      <c r="AB82" s="24">
        <f t="shared" si="31"/>
        <v>21263.769196371737</v>
      </c>
      <c r="AC82" s="24"/>
      <c r="AD82" s="24">
        <v>6108.0102469280364</v>
      </c>
      <c r="AE82" s="24">
        <v>13068.985835469603</v>
      </c>
      <c r="AF82" s="24">
        <v>27134.257332725156</v>
      </c>
      <c r="AG82" s="24"/>
      <c r="AH82" s="24">
        <f t="shared" si="25"/>
        <v>489754.30367577501</v>
      </c>
      <c r="AI82" s="24">
        <f t="shared" si="32"/>
        <v>104790.13293761412</v>
      </c>
      <c r="AJ82" s="24">
        <f t="shared" si="33"/>
        <v>21756.871335361189</v>
      </c>
      <c r="AK82" s="44"/>
      <c r="AL82" s="103">
        <v>4552.4807564000002</v>
      </c>
      <c r="AM82" s="24">
        <v>8972.0478915999993</v>
      </c>
      <c r="AN82" s="24">
        <v>16735.7215612</v>
      </c>
      <c r="AO82" s="44"/>
      <c r="AP82" s="45">
        <f>AL82/'TA1'!I88</f>
        <v>4.428445389570481E-2</v>
      </c>
      <c r="AQ82" s="45">
        <f>AM82/'TA1'!H88</f>
        <v>3.4628115360844598E-2</v>
      </c>
      <c r="AR82" s="45">
        <f>AN82/'TA1'!F88</f>
        <v>2.4739752660045741E-2</v>
      </c>
      <c r="AS82" s="44"/>
      <c r="AT82" s="103">
        <v>4388.9951725999999</v>
      </c>
      <c r="AU82" s="24">
        <v>8822.5647554999996</v>
      </c>
      <c r="AV82" s="24">
        <v>16629.914349300001</v>
      </c>
      <c r="AW82" s="44"/>
      <c r="AX82" s="45">
        <f>AT82/'TA1'!Q88</f>
        <v>5.0081455543079696E-2</v>
      </c>
      <c r="AY82" s="45">
        <f>AU82/'TA1'!P88</f>
        <v>3.9538563337626571E-2</v>
      </c>
      <c r="AZ82" s="45">
        <f>AV82/'TA1'!N88</f>
        <v>2.8361987203104941E-2</v>
      </c>
      <c r="BB82" s="103">
        <v>3547.3440780999999</v>
      </c>
      <c r="BC82" s="24">
        <v>7574.0309435999998</v>
      </c>
      <c r="BD82" s="24">
        <v>15585.785592699998</v>
      </c>
      <c r="BE82" s="44"/>
      <c r="BF82" s="45">
        <f>BB82/'TA1'!AJ88</f>
        <v>2.599641507492479E-2</v>
      </c>
      <c r="BG82" s="45">
        <f>BC82/'TA1'!AI88</f>
        <v>2.1997094844346927E-2</v>
      </c>
      <c r="BH82" s="45">
        <f>BD82/'TA1'!AG88</f>
        <v>1.728392008020526E-2</v>
      </c>
    </row>
    <row r="83" spans="1:60" s="20" customFormat="1">
      <c r="A83" s="15">
        <v>1995</v>
      </c>
      <c r="B83" s="45">
        <v>4.7401860356330872E-2</v>
      </c>
      <c r="C83" s="45">
        <v>3.8413349539041519E-2</v>
      </c>
      <c r="D83" s="45">
        <v>3.11881173402071E-2</v>
      </c>
      <c r="E83" s="16"/>
      <c r="F83" s="100">
        <v>1.5442784061691581</v>
      </c>
      <c r="G83" s="17"/>
      <c r="H83" s="101">
        <v>1.8149999999999999</v>
      </c>
      <c r="I83" s="101">
        <v>4.9829999999999997</v>
      </c>
      <c r="J83" s="101">
        <v>13.528</v>
      </c>
      <c r="K83" s="18"/>
      <c r="L83" s="23">
        <v>4050827.5599636263</v>
      </c>
      <c r="M83" s="23">
        <f t="shared" si="34"/>
        <v>73522.520213339812</v>
      </c>
      <c r="N83" s="23">
        <f t="shared" si="35"/>
        <v>201852.73731298748</v>
      </c>
      <c r="O83" s="23">
        <f t="shared" si="36"/>
        <v>547995.95231187937</v>
      </c>
      <c r="P83" s="23"/>
      <c r="Q83" s="102">
        <v>126023</v>
      </c>
      <c r="R83" s="19">
        <f t="shared" si="37"/>
        <v>12.602300000000001</v>
      </c>
      <c r="S83" s="19">
        <f t="shared" si="38"/>
        <v>126.023</v>
      </c>
      <c r="T83" s="19">
        <f t="shared" si="15"/>
        <v>1260.23</v>
      </c>
      <c r="V83" s="19">
        <f t="shared" si="26"/>
        <v>5381.9712152096108</v>
      </c>
      <c r="W83" s="19">
        <f t="shared" si="27"/>
        <v>11974.08729671421</v>
      </c>
      <c r="X83" s="19">
        <f t="shared" si="28"/>
        <v>26393.203654024335</v>
      </c>
      <c r="Z83" s="24">
        <f t="shared" si="29"/>
        <v>427062.61676119524</v>
      </c>
      <c r="AA83" s="24">
        <f t="shared" si="30"/>
        <v>95015.094837563069</v>
      </c>
      <c r="AB83" s="24">
        <f t="shared" si="31"/>
        <v>20943.164068483002</v>
      </c>
      <c r="AC83" s="24"/>
      <c r="AD83" s="24">
        <v>6209.6993932905871</v>
      </c>
      <c r="AE83" s="24">
        <v>13517.97358941454</v>
      </c>
      <c r="AF83" s="24">
        <v>28329.156398666586</v>
      </c>
      <c r="AG83" s="24"/>
      <c r="AH83" s="24">
        <f t="shared" si="25"/>
        <v>492743.33996894112</v>
      </c>
      <c r="AI83" s="24">
        <f t="shared" si="32"/>
        <v>107265.92439010768</v>
      </c>
      <c r="AJ83" s="24">
        <f t="shared" si="33"/>
        <v>22479.354085100804</v>
      </c>
      <c r="AK83" s="44"/>
      <c r="AL83" s="103">
        <v>4694.0099546000001</v>
      </c>
      <c r="AM83" s="24">
        <v>9507.481616699999</v>
      </c>
      <c r="AN83" s="24">
        <v>18067.893431700002</v>
      </c>
      <c r="AO83" s="44"/>
      <c r="AP83" s="45">
        <f>AL83/'TA1'!I89</f>
        <v>4.0411417634005284E-2</v>
      </c>
      <c r="AQ83" s="45">
        <f>AM83/'TA1'!H89</f>
        <v>3.2472362953008697E-2</v>
      </c>
      <c r="AR83" s="45">
        <f>AN83/'TA1'!F89</f>
        <v>2.4072779026754088E-2</v>
      </c>
      <c r="AS83" s="44"/>
      <c r="AT83" s="103">
        <v>4542.8977210000003</v>
      </c>
      <c r="AU83" s="24">
        <v>9316.1519164000001</v>
      </c>
      <c r="AV83" s="24">
        <v>17994.502131699999</v>
      </c>
      <c r="AW83" s="44"/>
      <c r="AX83" s="45">
        <f>AT83/'TA1'!Q89</f>
        <v>4.5682225131044266E-2</v>
      </c>
      <c r="AY83" s="45">
        <f>AU83/'TA1'!P89</f>
        <v>3.6783507830076216E-2</v>
      </c>
      <c r="AZ83" s="45">
        <f>AV83/'TA1'!N89</f>
        <v>2.7587651997537516E-2</v>
      </c>
      <c r="BB83" s="103">
        <v>3657.9488704999999</v>
      </c>
      <c r="BC83" s="24">
        <v>8056.1796438999991</v>
      </c>
      <c r="BD83" s="24">
        <v>16656.941011200001</v>
      </c>
      <c r="BE83" s="44"/>
      <c r="BF83" s="45">
        <f>BB83/'TA1'!AJ89</f>
        <v>2.4244792770913372E-2</v>
      </c>
      <c r="BG83" s="45">
        <f>BC83/'TA1'!AI89</f>
        <v>2.1031733267648556E-2</v>
      </c>
      <c r="BH83" s="45">
        <f>BD83/'TA1'!AG89</f>
        <v>1.6818825771058359E-2</v>
      </c>
    </row>
    <row r="84" spans="1:60" s="20" customFormat="1">
      <c r="A84" s="15">
        <v>1996</v>
      </c>
      <c r="B84" s="45">
        <v>6.4663425087928772E-2</v>
      </c>
      <c r="C84" s="45">
        <v>4.913034662604332E-2</v>
      </c>
      <c r="D84" s="45">
        <v>3.6536093801259995E-2</v>
      </c>
      <c r="E84" s="16"/>
      <c r="F84" s="100">
        <v>1.504236615170822</v>
      </c>
      <c r="G84" s="17"/>
      <c r="H84" s="101">
        <v>1.9730000000000001</v>
      </c>
      <c r="I84" s="101">
        <v>5.3250000000000002</v>
      </c>
      <c r="J84" s="101">
        <v>14.106999999999999</v>
      </c>
      <c r="K84" s="18"/>
      <c r="L84" s="23">
        <v>4309234.881231687</v>
      </c>
      <c r="M84" s="23">
        <f t="shared" si="34"/>
        <v>85021.204206701179</v>
      </c>
      <c r="N84" s="23">
        <f t="shared" si="35"/>
        <v>229466.75742558733</v>
      </c>
      <c r="O84" s="23">
        <f t="shared" si="36"/>
        <v>607903.76469535404</v>
      </c>
      <c r="P84" s="23"/>
      <c r="Q84" s="102">
        <v>127625.25324638988</v>
      </c>
      <c r="R84" s="19">
        <f t="shared" si="37"/>
        <v>12.76252532463899</v>
      </c>
      <c r="S84" s="19">
        <f t="shared" si="38"/>
        <v>127.62525324638989</v>
      </c>
      <c r="T84" s="19">
        <f t="shared" si="15"/>
        <v>1276.2525324638989</v>
      </c>
      <c r="V84" s="19">
        <f t="shared" si="26"/>
        <v>8269.9353066931399</v>
      </c>
      <c r="W84" s="19">
        <f t="shared" si="27"/>
        <v>16958.434670231407</v>
      </c>
      <c r="X84" s="19">
        <f t="shared" si="28"/>
        <v>33409.740493893543</v>
      </c>
      <c r="Z84" s="24">
        <f t="shared" si="29"/>
        <v>647985.80973057309</v>
      </c>
      <c r="AA84" s="24">
        <f t="shared" si="30"/>
        <v>132876.79545279263</v>
      </c>
      <c r="AB84" s="24">
        <f t="shared" si="31"/>
        <v>26178.001331283234</v>
      </c>
      <c r="AC84" s="24"/>
      <c r="AD84" s="24">
        <v>9367.2833855354802</v>
      </c>
      <c r="AE84" s="24">
        <v>18382.692813752783</v>
      </c>
      <c r="AF84" s="24">
        <v>35186.893464805158</v>
      </c>
      <c r="AG84" s="24"/>
      <c r="AH84" s="24">
        <f t="shared" si="25"/>
        <v>733967.8588101411</v>
      </c>
      <c r="AI84" s="24">
        <f t="shared" si="32"/>
        <v>144036.48452131689</v>
      </c>
      <c r="AJ84" s="24">
        <f t="shared" si="33"/>
        <v>27570.478858815099</v>
      </c>
      <c r="AK84" s="44"/>
      <c r="AL84" s="103">
        <v>7171.4168889000002</v>
      </c>
      <c r="AM84" s="24">
        <v>13262.303633700001</v>
      </c>
      <c r="AN84" s="24">
        <v>23246.039020700002</v>
      </c>
      <c r="AO84" s="44"/>
      <c r="AP84" s="45">
        <f>AL84/'TA1'!I90</f>
        <v>5.479790149796239E-2</v>
      </c>
      <c r="AQ84" s="45">
        <f>AM84/'TA1'!H90</f>
        <v>4.0624886454192558E-2</v>
      </c>
      <c r="AR84" s="45">
        <f>AN84/'TA1'!F90</f>
        <v>2.8046738925292355E-2</v>
      </c>
      <c r="AS84" s="44"/>
      <c r="AT84" s="103">
        <v>6906.2531384000004</v>
      </c>
      <c r="AU84" s="24">
        <v>13045.613695700002</v>
      </c>
      <c r="AV84" s="24">
        <v>23092.3958308</v>
      </c>
      <c r="AW84" s="44"/>
      <c r="AX84" s="45">
        <f>AT84/'TA1'!Q90</f>
        <v>6.1291317075415415E-2</v>
      </c>
      <c r="AY84" s="45">
        <f>AU84/'TA1'!P90</f>
        <v>4.6039759807588322E-2</v>
      </c>
      <c r="AZ84" s="45">
        <f>AV84/'TA1'!N90</f>
        <v>3.1899865889799109E-2</v>
      </c>
      <c r="BB84" s="103">
        <v>5734.0783584999999</v>
      </c>
      <c r="BC84" s="24">
        <v>11364.183655000001</v>
      </c>
      <c r="BD84" s="24">
        <v>21388.146173199999</v>
      </c>
      <c r="BE84" s="44"/>
      <c r="BF84" s="45">
        <f>BB84/'TA1'!AJ90</f>
        <v>3.2094670735144951E-2</v>
      </c>
      <c r="BG84" s="45">
        <f>BC84/'TA1'!AI90</f>
        <v>2.5816271109906256E-2</v>
      </c>
      <c r="BH84" s="45">
        <f>BD84/'TA1'!AG90</f>
        <v>1.9417967306163381E-2</v>
      </c>
    </row>
    <row r="85" spans="1:60" s="20" customFormat="1">
      <c r="A85" s="15">
        <v>1997</v>
      </c>
      <c r="B85" s="45">
        <v>7.444530725479126E-2</v>
      </c>
      <c r="C85" s="45">
        <v>5.7321712374687195E-2</v>
      </c>
      <c r="D85" s="45">
        <v>4.1621603071689606E-2</v>
      </c>
      <c r="E85" s="16"/>
      <c r="F85" s="100">
        <v>1.4724211199260924</v>
      </c>
      <c r="G85" s="17"/>
      <c r="H85" s="101">
        <v>2.1949999999999998</v>
      </c>
      <c r="I85" s="101">
        <v>5.806</v>
      </c>
      <c r="J85" s="101">
        <v>14.771000000000001</v>
      </c>
      <c r="K85" s="18"/>
      <c r="L85" s="23">
        <v>4636736.7545036357</v>
      </c>
      <c r="M85" s="23">
        <f t="shared" si="34"/>
        <v>101776.37176135481</v>
      </c>
      <c r="N85" s="23">
        <f t="shared" si="35"/>
        <v>269208.93596648111</v>
      </c>
      <c r="O85" s="23">
        <f t="shared" si="36"/>
        <v>684892.38600773201</v>
      </c>
      <c r="P85" s="23"/>
      <c r="Q85" s="102">
        <v>129301.25716290172</v>
      </c>
      <c r="R85" s="19">
        <f t="shared" si="37"/>
        <v>12.930125716290172</v>
      </c>
      <c r="S85" s="19">
        <f t="shared" si="38"/>
        <v>129.30125716290172</v>
      </c>
      <c r="T85" s="19">
        <f t="shared" ref="T85:T104" si="39">$Q85*0.01</f>
        <v>1293.0125716290172</v>
      </c>
      <c r="V85" s="19">
        <f t="shared" si="26"/>
        <v>11156.200979298665</v>
      </c>
      <c r="W85" s="19">
        <f t="shared" si="27"/>
        <v>22721.691832137807</v>
      </c>
      <c r="X85" s="19">
        <f t="shared" si="28"/>
        <v>41973.306201777872</v>
      </c>
      <c r="Z85" s="24">
        <f t="shared" si="29"/>
        <v>862806.84535366832</v>
      </c>
      <c r="AA85" s="24">
        <f t="shared" si="30"/>
        <v>175726.76655039488</v>
      </c>
      <c r="AB85" s="24">
        <f t="shared" si="31"/>
        <v>32461.638133105938</v>
      </c>
      <c r="AC85" s="24"/>
      <c r="AD85" s="24">
        <v>12028.499938394512</v>
      </c>
      <c r="AE85" s="24">
        <v>23066.285322250431</v>
      </c>
      <c r="AF85" s="24">
        <v>41703.589301294145</v>
      </c>
      <c r="AG85" s="24"/>
      <c r="AH85" s="24">
        <f t="shared" si="25"/>
        <v>930269.37265120819</v>
      </c>
      <c r="AI85" s="24">
        <f t="shared" si="32"/>
        <v>178391.81016770858</v>
      </c>
      <c r="AJ85" s="24">
        <f t="shared" si="33"/>
        <v>32253.042403720316</v>
      </c>
      <c r="AK85" s="44"/>
      <c r="AL85" s="103">
        <v>9275.6051645999996</v>
      </c>
      <c r="AM85" s="24">
        <v>17114.323751299999</v>
      </c>
      <c r="AN85" s="24">
        <v>28814.285690899997</v>
      </c>
      <c r="AO85" s="44"/>
      <c r="AP85" s="45">
        <f>AL85/'TA1'!I91</f>
        <v>6.146432732128753E-2</v>
      </c>
      <c r="AQ85" s="45">
        <f>AM85/'TA1'!H91</f>
        <v>4.5500966548559729E-2</v>
      </c>
      <c r="AR85" s="45">
        <f>AN85/'TA1'!F91</f>
        <v>3.1089318666457842E-2</v>
      </c>
      <c r="AS85" s="44"/>
      <c r="AT85" s="103">
        <v>8945.6539095999997</v>
      </c>
      <c r="AU85" s="24">
        <v>16833.7913009</v>
      </c>
      <c r="AV85" s="24">
        <v>28436.8548715</v>
      </c>
      <c r="AW85" s="44"/>
      <c r="AX85" s="45">
        <f>AT85/'TA1'!Q91</f>
        <v>6.8606569461600639E-2</v>
      </c>
      <c r="AY85" s="45">
        <f>AU85/'TA1'!P91</f>
        <v>5.1394826692966862E-2</v>
      </c>
      <c r="AZ85" s="45">
        <f>AV85/'TA1'!N91</f>
        <v>3.5090035345085847E-2</v>
      </c>
      <c r="BB85" s="103">
        <v>7519.0432861999998</v>
      </c>
      <c r="BC85" s="24">
        <v>14589.580912199999</v>
      </c>
      <c r="BD85" s="24">
        <v>26026.733969499997</v>
      </c>
      <c r="BE85" s="44"/>
      <c r="BF85" s="45">
        <f>BB85/'TA1'!AJ91</f>
        <v>3.7158876078655242E-2</v>
      </c>
      <c r="BG85" s="45">
        <f>BC85/'TA1'!AI91</f>
        <v>2.890516432105673E-2</v>
      </c>
      <c r="BH85" s="45">
        <f>BD85/'TA1'!AG91</f>
        <v>2.1208001884247984E-2</v>
      </c>
    </row>
    <row r="86" spans="1:60" s="20" customFormat="1">
      <c r="A86" s="15">
        <v>1998</v>
      </c>
      <c r="B86" s="45">
        <v>6.5787836909294128E-2</v>
      </c>
      <c r="C86" s="45">
        <v>5.1965672522783279E-2</v>
      </c>
      <c r="D86" s="45">
        <v>3.9965290576219559E-2</v>
      </c>
      <c r="E86" s="16"/>
      <c r="F86" s="100">
        <v>1.45214999061547</v>
      </c>
      <c r="G86" s="17"/>
      <c r="H86" s="101">
        <v>2.4060000000000001</v>
      </c>
      <c r="I86" s="101">
        <v>6.2</v>
      </c>
      <c r="J86" s="101">
        <v>15.294</v>
      </c>
      <c r="K86" s="18"/>
      <c r="L86" s="23">
        <v>4992745.3425246943</v>
      </c>
      <c r="M86" s="23">
        <f t="shared" si="34"/>
        <v>120125.45294114415</v>
      </c>
      <c r="N86" s="23">
        <f t="shared" si="35"/>
        <v>309550.21123653109</v>
      </c>
      <c r="O86" s="23">
        <f t="shared" si="36"/>
        <v>763590.47268572671</v>
      </c>
      <c r="P86" s="23"/>
      <c r="Q86" s="102">
        <v>130945</v>
      </c>
      <c r="R86" s="19">
        <f t="shared" si="37"/>
        <v>13.0945</v>
      </c>
      <c r="S86" s="19">
        <f t="shared" si="38"/>
        <v>130.94499999999999</v>
      </c>
      <c r="T86" s="19">
        <f t="shared" si="39"/>
        <v>1309.45</v>
      </c>
      <c r="V86" s="19">
        <f t="shared" si="26"/>
        <v>11476.041807088764</v>
      </c>
      <c r="W86" s="19">
        <f t="shared" si="27"/>
        <v>23359.262830979664</v>
      </c>
      <c r="X86" s="19">
        <f t="shared" si="28"/>
        <v>44315.428438194744</v>
      </c>
      <c r="Z86" s="24">
        <f t="shared" si="29"/>
        <v>876401.68063605053</v>
      </c>
      <c r="AA86" s="24">
        <f t="shared" si="30"/>
        <v>178389.87995707864</v>
      </c>
      <c r="AB86" s="24">
        <f t="shared" si="31"/>
        <v>33842.780127683181</v>
      </c>
      <c r="AC86" s="24"/>
      <c r="AD86" s="24">
        <v>12161.414471798869</v>
      </c>
      <c r="AE86" s="24">
        <v>24267.727626555363</v>
      </c>
      <c r="AF86" s="24">
        <v>45121.689069073502</v>
      </c>
      <c r="AG86" s="24"/>
      <c r="AH86" s="24">
        <f t="shared" si="25"/>
        <v>928742.17967840459</v>
      </c>
      <c r="AI86" s="24">
        <f t="shared" si="32"/>
        <v>185327.63852423051</v>
      </c>
      <c r="AJ86" s="24">
        <f t="shared" si="33"/>
        <v>34458.504768470346</v>
      </c>
      <c r="AK86" s="44"/>
      <c r="AL86" s="103">
        <v>9952.8299563</v>
      </c>
      <c r="AM86" s="24">
        <v>18581.943919199999</v>
      </c>
      <c r="AN86" s="24">
        <v>31729.6938271</v>
      </c>
      <c r="AO86" s="44"/>
      <c r="AP86" s="45">
        <f>AL86/'TA1'!I92</f>
        <v>6.0726583833231595E-2</v>
      </c>
      <c r="AQ86" s="45">
        <f>AM86/'TA1'!H92</f>
        <v>4.5315369954839903E-2</v>
      </c>
      <c r="AR86" s="45">
        <f>AN86/'TA1'!F92</f>
        <v>3.1791649586471515E-2</v>
      </c>
      <c r="AS86" s="44"/>
      <c r="AT86" s="103">
        <v>9521.4339894000004</v>
      </c>
      <c r="AU86" s="24">
        <v>18097.846072699998</v>
      </c>
      <c r="AV86" s="24">
        <v>31425.488151700003</v>
      </c>
      <c r="AW86" s="44"/>
      <c r="AX86" s="45">
        <f>AT86/'TA1'!Q92</f>
        <v>6.7004969676623713E-2</v>
      </c>
      <c r="AY86" s="45">
        <f>AU86/'TA1'!P92</f>
        <v>5.0586813024678615E-2</v>
      </c>
      <c r="AZ86" s="45">
        <f>AV86/'TA1'!N92</f>
        <v>3.5958566375257225E-2</v>
      </c>
      <c r="BB86" s="103">
        <v>7712.5680093999999</v>
      </c>
      <c r="BC86" s="24">
        <v>15484.527328100001</v>
      </c>
      <c r="BD86" s="24">
        <v>28433.179514999996</v>
      </c>
      <c r="BE86" s="44"/>
      <c r="BF86" s="45">
        <f>BB86/'TA1'!AJ92</f>
        <v>3.5228565378615954E-2</v>
      </c>
      <c r="BG86" s="45">
        <f>BC86/'TA1'!AI92</f>
        <v>2.8531176311073127E-2</v>
      </c>
      <c r="BH86" s="45">
        <f>BD86/'TA1'!AG92</f>
        <v>2.1381988239420922E-2</v>
      </c>
    </row>
    <row r="87" spans="1:60" s="20" customFormat="1">
      <c r="A87" s="15">
        <v>1999</v>
      </c>
      <c r="B87" s="45">
        <v>6.2063165009021759E-2</v>
      </c>
      <c r="C87" s="45">
        <v>5.1538269966840744E-2</v>
      </c>
      <c r="D87" s="45">
        <v>4.0855396538972855E-2</v>
      </c>
      <c r="E87" s="16"/>
      <c r="F87" s="100">
        <v>1.4224779434022405</v>
      </c>
      <c r="G87" s="17"/>
      <c r="H87" s="101">
        <v>2.633</v>
      </c>
      <c r="I87" s="101">
        <v>6.6349999999999998</v>
      </c>
      <c r="J87" s="101">
        <v>15.872999999999999</v>
      </c>
      <c r="K87" s="18"/>
      <c r="L87" s="23">
        <v>5350790.054969117</v>
      </c>
      <c r="M87" s="23">
        <f t="shared" si="34"/>
        <v>140886.30214733686</v>
      </c>
      <c r="N87" s="23">
        <f t="shared" si="35"/>
        <v>355024.92014720087</v>
      </c>
      <c r="O87" s="23">
        <f t="shared" si="36"/>
        <v>849330.90542524785</v>
      </c>
      <c r="P87" s="23"/>
      <c r="Q87" s="102">
        <v>132267</v>
      </c>
      <c r="R87" s="19">
        <f t="shared" si="37"/>
        <v>13.226700000000001</v>
      </c>
      <c r="S87" s="19">
        <f t="shared" si="38"/>
        <v>132.267</v>
      </c>
      <c r="T87" s="19">
        <f t="shared" si="39"/>
        <v>1322.67</v>
      </c>
      <c r="V87" s="19">
        <f t="shared" si="26"/>
        <v>12437.933506073017</v>
      </c>
      <c r="W87" s="19">
        <f t="shared" si="27"/>
        <v>26027.605502608221</v>
      </c>
      <c r="X87" s="19">
        <f t="shared" si="28"/>
        <v>49359.630345099933</v>
      </c>
      <c r="Z87" s="24">
        <f t="shared" si="29"/>
        <v>940365.58673539257</v>
      </c>
      <c r="AA87" s="24">
        <f t="shared" si="30"/>
        <v>196780.79568303673</v>
      </c>
      <c r="AB87" s="24">
        <f t="shared" si="31"/>
        <v>37318.174862286076</v>
      </c>
      <c r="AC87" s="24"/>
      <c r="AD87" s="24">
        <v>15695.77046847993</v>
      </c>
      <c r="AE87" s="24">
        <v>29988.151099902076</v>
      </c>
      <c r="AF87" s="24">
        <v>52903.202706380536</v>
      </c>
      <c r="AG87" s="24"/>
      <c r="AH87" s="24">
        <f t="shared" si="25"/>
        <v>1186673.2040856697</v>
      </c>
      <c r="AI87" s="24">
        <f t="shared" si="32"/>
        <v>226724.36132899422</v>
      </c>
      <c r="AJ87" s="24">
        <f t="shared" si="33"/>
        <v>39997.280278815226</v>
      </c>
      <c r="AK87" s="44"/>
      <c r="AL87" s="103">
        <v>12740.068439999999</v>
      </c>
      <c r="AM87" s="24">
        <v>23008.910981000001</v>
      </c>
      <c r="AN87" s="24">
        <v>37873.316123800003</v>
      </c>
      <c r="AO87" s="44"/>
      <c r="AP87" s="45">
        <f>AL87/'TA1'!I93</f>
        <v>6.8662937684726061E-2</v>
      </c>
      <c r="AQ87" s="45">
        <f>AM87/'TA1'!H93</f>
        <v>5.010326458334962E-2</v>
      </c>
      <c r="AR87" s="45">
        <f>AN87/'TA1'!F93</f>
        <v>3.4331798676391287E-2</v>
      </c>
      <c r="AS87" s="44"/>
      <c r="AT87" s="103">
        <v>12122.034474</v>
      </c>
      <c r="AU87" s="24">
        <v>22338.974772000001</v>
      </c>
      <c r="AV87" s="24">
        <v>37323.849047299998</v>
      </c>
      <c r="AW87" s="44"/>
      <c r="AX87" s="45">
        <f>AT87/'TA1'!Q93</f>
        <v>7.517114220061083E-2</v>
      </c>
      <c r="AY87" s="45">
        <f>AU87/'TA1'!P93</f>
        <v>5.577175585500322E-2</v>
      </c>
      <c r="AZ87" s="45">
        <f>AV87/'TA1'!N93</f>
        <v>3.8690474866825746E-2</v>
      </c>
      <c r="BB87" s="103">
        <v>10290.486548000001</v>
      </c>
      <c r="BC87" s="24">
        <v>19577.266489400001</v>
      </c>
      <c r="BD87" s="24">
        <v>34518.737870299999</v>
      </c>
      <c r="BE87" s="44"/>
      <c r="BF87" s="45">
        <f>BB87/'TA1'!AJ93</f>
        <v>3.9953556435410882E-2</v>
      </c>
      <c r="BG87" s="45">
        <f>BC87/'TA1'!AI93</f>
        <v>3.1640181936290132E-2</v>
      </c>
      <c r="BH87" s="45">
        <f>BD87/'TA1'!AG93</f>
        <v>2.341947606661245E-2</v>
      </c>
    </row>
    <row r="88" spans="1:60" s="20" customFormat="1">
      <c r="A88" s="15">
        <v>2000</v>
      </c>
      <c r="B88" s="45">
        <v>6.1263587325811386E-2</v>
      </c>
      <c r="C88" s="45">
        <v>5.3797226399183273E-2</v>
      </c>
      <c r="D88" s="45">
        <v>4.2812857776880264E-2</v>
      </c>
      <c r="E88" s="16"/>
      <c r="F88" s="100">
        <v>1.3763556850554695</v>
      </c>
      <c r="G88" s="17"/>
      <c r="H88" s="101">
        <v>2.8410000000000002</v>
      </c>
      <c r="I88" s="101">
        <v>7.1269999999999998</v>
      </c>
      <c r="J88" s="101">
        <v>16.494</v>
      </c>
      <c r="K88" s="18"/>
      <c r="L88" s="23">
        <v>5712242.5007777316</v>
      </c>
      <c r="M88" s="23">
        <f t="shared" si="34"/>
        <v>162284.80944709538</v>
      </c>
      <c r="N88" s="23">
        <f t="shared" si="35"/>
        <v>407111.52303042891</v>
      </c>
      <c r="O88" s="23">
        <f t="shared" si="36"/>
        <v>942177.27807827899</v>
      </c>
      <c r="P88" s="23"/>
      <c r="Q88" s="102">
        <v>134473</v>
      </c>
      <c r="R88" s="19">
        <f t="shared" si="37"/>
        <v>13.4473</v>
      </c>
      <c r="S88" s="19">
        <f t="shared" si="38"/>
        <v>134.47300000000001</v>
      </c>
      <c r="T88" s="19">
        <f t="shared" si="39"/>
        <v>1344.73</v>
      </c>
      <c r="V88" s="19">
        <f t="shared" si="26"/>
        <v>13683.934117045808</v>
      </c>
      <c r="W88" s="19">
        <f t="shared" si="27"/>
        <v>30144.213811124777</v>
      </c>
      <c r="X88" s="19">
        <f t="shared" si="28"/>
        <v>55518.474661826272</v>
      </c>
      <c r="Z88" s="24">
        <f t="shared" si="29"/>
        <v>1017597.1471630593</v>
      </c>
      <c r="AA88" s="24">
        <f t="shared" si="30"/>
        <v>224165.5485571436</v>
      </c>
      <c r="AB88" s="24">
        <f t="shared" si="31"/>
        <v>41285.964217222987</v>
      </c>
      <c r="AC88" s="24"/>
      <c r="AD88" s="24">
        <v>18446.22792287901</v>
      </c>
      <c r="AE88" s="24">
        <v>33742.173037086563</v>
      </c>
      <c r="AF88" s="24">
        <v>58684.814743540475</v>
      </c>
      <c r="AG88" s="24"/>
      <c r="AH88" s="24">
        <f t="shared" si="25"/>
        <v>1371742.128373652</v>
      </c>
      <c r="AI88" s="24">
        <f t="shared" si="32"/>
        <v>250921.5458648692</v>
      </c>
      <c r="AJ88" s="24">
        <f t="shared" si="33"/>
        <v>43640.593088233676</v>
      </c>
      <c r="AK88" s="44"/>
      <c r="AL88" s="103">
        <v>15066.784696999999</v>
      </c>
      <c r="AM88" s="24">
        <v>26263.873272999997</v>
      </c>
      <c r="AN88" s="24">
        <v>42998.695790800004</v>
      </c>
      <c r="AO88" s="44"/>
      <c r="AP88" s="45">
        <f>AL88/'TA1'!I94</f>
        <v>7.0001069642965236E-2</v>
      </c>
      <c r="AQ88" s="45">
        <f>AM88/'TA1'!H94</f>
        <v>5.0392212191130194E-2</v>
      </c>
      <c r="AR88" s="45">
        <f>AN88/'TA1'!F94</f>
        <v>3.4978663765688423E-2</v>
      </c>
      <c r="AS88" s="44"/>
      <c r="AT88" s="103">
        <v>14133.497008</v>
      </c>
      <c r="AU88" s="24">
        <v>25380.581105000001</v>
      </c>
      <c r="AV88" s="24">
        <v>42132.718915600002</v>
      </c>
      <c r="AW88" s="44"/>
      <c r="AX88" s="45">
        <f>AT88/'TA1'!Q94</f>
        <v>7.4612745587328E-2</v>
      </c>
      <c r="AY88" s="45">
        <f>AU88/'TA1'!P94</f>
        <v>5.5288922092040178E-2</v>
      </c>
      <c r="AZ88" s="45">
        <f>AV88/'TA1'!N94</f>
        <v>3.8924952331310748E-2</v>
      </c>
      <c r="BB88" s="103">
        <v>12381.551358000001</v>
      </c>
      <c r="BC88" s="24">
        <v>23047.799398000003</v>
      </c>
      <c r="BD88" s="24">
        <v>39681.005298200005</v>
      </c>
      <c r="BE88" s="44"/>
      <c r="BF88" s="45">
        <f>BB88/'TA1'!AJ94</f>
        <v>4.1947793588467487E-2</v>
      </c>
      <c r="BG88" s="45">
        <f>BC88/'TA1'!AI94</f>
        <v>3.2840647325921533E-2</v>
      </c>
      <c r="BH88" s="45">
        <f>BD88/'TA1'!AG94</f>
        <v>2.4388388584938671E-2</v>
      </c>
    </row>
    <row r="89" spans="1:60">
      <c r="A89" s="39">
        <v>2001</v>
      </c>
      <c r="B89" s="26">
        <v>5.8879591524600983E-2</v>
      </c>
      <c r="C89" s="26">
        <v>4.8725444823503494E-2</v>
      </c>
      <c r="D89" s="26">
        <v>3.9783239364624023E-2</v>
      </c>
      <c r="E89" s="5"/>
      <c r="F89" s="57">
        <v>1.3387705875020317</v>
      </c>
      <c r="G89" s="10"/>
      <c r="H89" s="70">
        <v>2.4020000000000001</v>
      </c>
      <c r="I89" s="71">
        <v>6.258</v>
      </c>
      <c r="J89" s="72">
        <v>15.371</v>
      </c>
      <c r="K89" s="7"/>
      <c r="L89" s="21">
        <v>5846257.532873421</v>
      </c>
      <c r="M89" s="21">
        <f t="shared" si="34"/>
        <v>140427.10593961959</v>
      </c>
      <c r="N89" s="21">
        <f t="shared" si="35"/>
        <v>365858.79640721867</v>
      </c>
      <c r="O89" s="21">
        <f t="shared" si="36"/>
        <v>898628.24537797365</v>
      </c>
      <c r="P89" s="21"/>
      <c r="Q89" s="69">
        <v>137088</v>
      </c>
      <c r="R89" s="8">
        <f t="shared" si="37"/>
        <v>13.7088</v>
      </c>
      <c r="S89" s="8">
        <f t="shared" si="38"/>
        <v>137.08799999999999</v>
      </c>
      <c r="T89" s="8">
        <f t="shared" si="39"/>
        <v>1370.88</v>
      </c>
      <c r="V89" s="8">
        <f t="shared" si="26"/>
        <v>11069.344313341337</v>
      </c>
      <c r="W89" s="8">
        <f t="shared" si="27"/>
        <v>23865.771395782569</v>
      </c>
      <c r="X89" s="8">
        <f t="shared" si="28"/>
        <v>47861.507146835094</v>
      </c>
      <c r="Z89" s="22">
        <f t="shared" si="29"/>
        <v>807462.67458430619</v>
      </c>
      <c r="AA89" s="22">
        <f t="shared" si="30"/>
        <v>174090.88611536071</v>
      </c>
      <c r="AB89" s="22">
        <f t="shared" si="31"/>
        <v>34912.980820228673</v>
      </c>
      <c r="AC89" s="22"/>
      <c r="AD89" s="22">
        <v>15166.827953964474</v>
      </c>
      <c r="AE89" s="22">
        <v>27343.906731774248</v>
      </c>
      <c r="AF89" s="22">
        <v>49590.33925345153</v>
      </c>
      <c r="AG89" s="22"/>
      <c r="AH89" s="24">
        <f t="shared" si="25"/>
        <v>1106357.0811423664</v>
      </c>
      <c r="AI89" s="24">
        <f t="shared" si="32"/>
        <v>199462.43822781168</v>
      </c>
      <c r="AJ89" s="24">
        <f t="shared" si="33"/>
        <v>36174.09200911205</v>
      </c>
      <c r="AK89" s="25"/>
      <c r="AL89" s="41">
        <v>12174.566701</v>
      </c>
      <c r="AM89" s="22">
        <v>21297.168064400001</v>
      </c>
      <c r="AN89" s="22">
        <v>36473.576802399999</v>
      </c>
      <c r="AO89" s="25"/>
      <c r="AP89" s="45">
        <f>AL89/'TA1'!I95</f>
        <v>6.4667166181921518E-2</v>
      </c>
      <c r="AQ89" s="45">
        <f>AM89/'TA1'!H95</f>
        <v>4.492363956438504E-2</v>
      </c>
      <c r="AR89" s="45">
        <f>AN89/'TA1'!F95</f>
        <v>3.0885015453997054E-2</v>
      </c>
      <c r="AS89" s="25"/>
      <c r="AT89" s="41">
        <v>11740.721016</v>
      </c>
      <c r="AU89" s="22">
        <v>20858.466062699998</v>
      </c>
      <c r="AV89" s="22">
        <v>36112.855104200004</v>
      </c>
      <c r="AW89" s="25"/>
      <c r="AX89" s="45">
        <f>AT89/'TA1'!Q95</f>
        <v>7.0596550682146569E-2</v>
      </c>
      <c r="AY89" s="45">
        <f>AU89/'TA1'!P95</f>
        <v>4.9566987144800012E-2</v>
      </c>
      <c r="AZ89" s="45">
        <f>AV89/'TA1'!N95</f>
        <v>3.4409460627762761E-2</v>
      </c>
      <c r="BB89" s="41">
        <v>10527.613977999999</v>
      </c>
      <c r="BC89" s="22">
        <v>19048.213935100001</v>
      </c>
      <c r="BD89" s="22">
        <v>34285.996580300001</v>
      </c>
      <c r="BE89" s="25"/>
      <c r="BF89" s="45">
        <f>BB89/'TA1'!AJ95</f>
        <v>3.7985963262990571E-2</v>
      </c>
      <c r="BG89" s="45">
        <f>BC89/'TA1'!AI95</f>
        <v>2.8528305316155855E-2</v>
      </c>
      <c r="BH89" s="45">
        <f>BD89/'TA1'!AG95</f>
        <v>2.161653636389433E-2</v>
      </c>
    </row>
    <row r="90" spans="1:60">
      <c r="A90" s="39">
        <v>2002</v>
      </c>
      <c r="B90" s="26">
        <v>7.2522386908531189E-2</v>
      </c>
      <c r="C90" s="26">
        <v>5.1495131105184555E-2</v>
      </c>
      <c r="D90" s="26">
        <v>3.8446914404630661E-2</v>
      </c>
      <c r="E90" s="5"/>
      <c r="F90" s="57">
        <v>1.3174880876250123</v>
      </c>
      <c r="G90" s="10"/>
      <c r="H90" s="70">
        <v>2.3010000000000002</v>
      </c>
      <c r="I90" s="71">
        <v>5.9349999999999996</v>
      </c>
      <c r="J90" s="72">
        <v>14.989000000000001</v>
      </c>
      <c r="K90" s="7"/>
      <c r="L90" s="21">
        <v>5823155.0192037784</v>
      </c>
      <c r="M90" s="21">
        <f t="shared" si="34"/>
        <v>133990.79699187895</v>
      </c>
      <c r="N90" s="21">
        <f t="shared" si="35"/>
        <v>345604.25038974418</v>
      </c>
      <c r="O90" s="21">
        <f t="shared" si="36"/>
        <v>872832.70582845435</v>
      </c>
      <c r="P90" s="21"/>
      <c r="Q90" s="69">
        <v>139703</v>
      </c>
      <c r="R90" s="8">
        <f t="shared" si="37"/>
        <v>13.9703</v>
      </c>
      <c r="S90" s="8">
        <f t="shared" si="38"/>
        <v>139.703</v>
      </c>
      <c r="T90" s="8">
        <f t="shared" si="39"/>
        <v>1397.03</v>
      </c>
      <c r="V90" s="8">
        <f t="shared" si="26"/>
        <v>12802.469708986548</v>
      </c>
      <c r="W90" s="8">
        <f t="shared" si="27"/>
        <v>23447.251419075877</v>
      </c>
      <c r="X90" s="8">
        <f t="shared" si="28"/>
        <v>44211.90205330203</v>
      </c>
      <c r="Z90" s="22">
        <f t="shared" si="29"/>
        <v>916406.21239247161</v>
      </c>
      <c r="AA90" s="22">
        <f t="shared" si="30"/>
        <v>167836.42025637155</v>
      </c>
      <c r="AB90" s="22">
        <f t="shared" si="31"/>
        <v>31647.067030272814</v>
      </c>
      <c r="AC90" s="22"/>
      <c r="AD90" s="22">
        <v>12484.613336202392</v>
      </c>
      <c r="AE90" s="22">
        <v>23476.521322387405</v>
      </c>
      <c r="AF90" s="22">
        <v>44262.75166247072</v>
      </c>
      <c r="AG90" s="22"/>
      <c r="AH90" s="24">
        <f t="shared" si="25"/>
        <v>893653.91839848773</v>
      </c>
      <c r="AI90" s="24">
        <f t="shared" si="32"/>
        <v>168045.9354658626</v>
      </c>
      <c r="AJ90" s="24">
        <f t="shared" si="33"/>
        <v>31683.465396212479</v>
      </c>
      <c r="AK90" s="25"/>
      <c r="AL90" s="41">
        <v>10414.540545</v>
      </c>
      <c r="AM90" s="22">
        <v>18586.2745445</v>
      </c>
      <c r="AN90" s="22">
        <v>33348.139130700001</v>
      </c>
      <c r="AO90" s="25"/>
      <c r="AP90" s="45">
        <f>AL90/'TA1'!I96</f>
        <v>5.8631586837714494E-2</v>
      </c>
      <c r="AQ90" s="45">
        <f>AM90/'TA1'!H96</f>
        <v>4.1345031277044926E-2</v>
      </c>
      <c r="AR90" s="45">
        <f>AN90/'TA1'!F96</f>
        <v>2.8954847910626184E-2</v>
      </c>
      <c r="AS90" s="25"/>
      <c r="AT90" s="41">
        <v>10202.187033</v>
      </c>
      <c r="AU90" s="22">
        <v>18376.838964300001</v>
      </c>
      <c r="AV90" s="22">
        <v>33224.758383599998</v>
      </c>
      <c r="AW90" s="25"/>
      <c r="AX90" s="45">
        <f>AT90/'TA1'!Q96</f>
        <v>6.5084868133207976E-2</v>
      </c>
      <c r="AY90" s="45">
        <f>AU90/'TA1'!P96</f>
        <v>4.59643698127086E-2</v>
      </c>
      <c r="AZ90" s="45">
        <f>AV90/'TA1'!N96</f>
        <v>3.2428143252891908E-2</v>
      </c>
      <c r="BB90" s="41">
        <v>8740.0141294999994</v>
      </c>
      <c r="BC90" s="22">
        <v>16539.664849100001</v>
      </c>
      <c r="BD90" s="22">
        <v>30778.845823999996</v>
      </c>
      <c r="BE90" s="25"/>
      <c r="BF90" s="45">
        <f>BB90/'TA1'!AJ96</f>
        <v>3.1541232162729832E-2</v>
      </c>
      <c r="BG90" s="45">
        <f>BC90/'TA1'!AI96</f>
        <v>2.4790887636535187E-2</v>
      </c>
      <c r="BH90" s="45">
        <f>BD90/'TA1'!AG96</f>
        <v>1.9122009950669479E-2</v>
      </c>
    </row>
    <row r="91" spans="1:60">
      <c r="A91" s="39">
        <v>2003</v>
      </c>
      <c r="B91" s="26">
        <v>6.6449202597141266E-2</v>
      </c>
      <c r="C91" s="26">
        <v>5.2631709724664688E-2</v>
      </c>
      <c r="D91" s="26">
        <v>3.9789296686649323E-2</v>
      </c>
      <c r="E91" s="5"/>
      <c r="F91" s="57">
        <v>1.2887091919678939</v>
      </c>
      <c r="G91" s="10"/>
      <c r="H91" s="70">
        <v>2.4380000000000002</v>
      </c>
      <c r="I91" s="71">
        <v>6.109</v>
      </c>
      <c r="J91" s="72">
        <v>15.214</v>
      </c>
      <c r="K91" s="7"/>
      <c r="L91" s="21">
        <v>5961478.1778232278</v>
      </c>
      <c r="M91" s="21">
        <f t="shared" si="34"/>
        <v>145340.8379753303</v>
      </c>
      <c r="N91" s="21">
        <f t="shared" si="35"/>
        <v>364186.70188322099</v>
      </c>
      <c r="O91" s="21">
        <f t="shared" si="36"/>
        <v>906979.28997402592</v>
      </c>
      <c r="P91" s="21"/>
      <c r="Q91" s="69">
        <v>141843</v>
      </c>
      <c r="R91" s="8">
        <f t="shared" si="37"/>
        <v>14.1843</v>
      </c>
      <c r="S91" s="8">
        <f t="shared" si="38"/>
        <v>141.84299999999999</v>
      </c>
      <c r="T91" s="8">
        <f t="shared" si="39"/>
        <v>1418.43</v>
      </c>
      <c r="V91" s="8">
        <f t="shared" si="26"/>
        <v>12446.073453261273</v>
      </c>
      <c r="W91" s="8">
        <f t="shared" si="27"/>
        <v>24701.679815142266</v>
      </c>
      <c r="X91" s="8">
        <f t="shared" si="28"/>
        <v>46507.025025964038</v>
      </c>
      <c r="Z91" s="22">
        <f t="shared" si="29"/>
        <v>877454.18901611445</v>
      </c>
      <c r="AA91" s="22">
        <f t="shared" si="30"/>
        <v>174148.03561079694</v>
      </c>
      <c r="AB91" s="22">
        <f t="shared" si="31"/>
        <v>32787.677238893732</v>
      </c>
      <c r="AC91" s="22"/>
      <c r="AD91" s="22">
        <v>13962.516329162916</v>
      </c>
      <c r="AE91" s="22">
        <v>25658.618528509727</v>
      </c>
      <c r="AF91" s="22">
        <v>47123.436415890646</v>
      </c>
      <c r="AG91" s="22"/>
      <c r="AH91" s="24">
        <f t="shared" si="25"/>
        <v>984364.14410037268</v>
      </c>
      <c r="AI91" s="24">
        <f t="shared" si="32"/>
        <v>180894.49975331689</v>
      </c>
      <c r="AJ91" s="24">
        <f t="shared" si="33"/>
        <v>33222.250245617091</v>
      </c>
      <c r="AK91" s="25"/>
      <c r="AL91" s="41">
        <v>12354.22776</v>
      </c>
      <c r="AM91" s="22">
        <v>21431.912269100001</v>
      </c>
      <c r="AN91" s="22">
        <v>36883.651814299999</v>
      </c>
      <c r="AO91" s="25"/>
      <c r="AP91" s="45">
        <f>AL91/'TA1'!I97</f>
        <v>6.0371001838397838E-2</v>
      </c>
      <c r="AQ91" s="45">
        <f>AM91/'TA1'!H97</f>
        <v>4.3145690666963547E-2</v>
      </c>
      <c r="AR91" s="45">
        <f>AN91/'TA1'!F97</f>
        <v>2.9871766472390284E-2</v>
      </c>
      <c r="AS91" s="25"/>
      <c r="AT91" s="41">
        <v>12056.334394</v>
      </c>
      <c r="AU91" s="22">
        <v>21021.695658600001</v>
      </c>
      <c r="AV91" s="22">
        <v>36505.846595299998</v>
      </c>
      <c r="AW91" s="25"/>
      <c r="AX91" s="45">
        <f>AT91/'TA1'!Q97</f>
        <v>6.7868178114897232E-2</v>
      </c>
      <c r="AY91" s="45">
        <f>AU91/'TA1'!P97</f>
        <v>4.8275209444344026E-2</v>
      </c>
      <c r="AZ91" s="45">
        <f>AV91/'TA1'!N97</f>
        <v>3.3529524876868749E-2</v>
      </c>
      <c r="BB91" s="41">
        <v>10035.142818</v>
      </c>
      <c r="BC91" s="22">
        <v>18521.849237900002</v>
      </c>
      <c r="BD91" s="22">
        <v>33731.217141900001</v>
      </c>
      <c r="BE91" s="25"/>
      <c r="BF91" s="45">
        <f>BB91/'TA1'!AJ97</f>
        <v>3.2997928249502137E-2</v>
      </c>
      <c r="BG91" s="45">
        <f>BC91/'TA1'!AI97</f>
        <v>2.5954375245682053E-2</v>
      </c>
      <c r="BH91" s="45">
        <f>BD91/'TA1'!AG97</f>
        <v>1.9877364502360929E-2</v>
      </c>
    </row>
    <row r="92" spans="1:60">
      <c r="A92" s="39">
        <v>2004</v>
      </c>
      <c r="B92" s="26">
        <v>6.486356258392334E-2</v>
      </c>
      <c r="C92" s="26">
        <v>5.3260460495948792E-2</v>
      </c>
      <c r="D92" s="26">
        <v>4.1799250990152359E-2</v>
      </c>
      <c r="E92" s="5"/>
      <c r="F92" s="57">
        <v>1.2547957921792656</v>
      </c>
      <c r="G92" s="10"/>
      <c r="H92" s="70">
        <v>2.87</v>
      </c>
      <c r="I92" s="71">
        <v>6.9050000000000002</v>
      </c>
      <c r="J92" s="72">
        <v>16.337</v>
      </c>
      <c r="K92" s="7"/>
      <c r="L92" s="21">
        <v>6383254.4954936244</v>
      </c>
      <c r="M92" s="21">
        <f t="shared" si="34"/>
        <v>183199.40402066705</v>
      </c>
      <c r="N92" s="21">
        <f t="shared" si="35"/>
        <v>440763.72291383473</v>
      </c>
      <c r="O92" s="21">
        <f t="shared" si="36"/>
        <v>1042832.2869287933</v>
      </c>
      <c r="P92" s="21"/>
      <c r="Q92" s="69">
        <v>143982</v>
      </c>
      <c r="R92" s="8">
        <f t="shared" si="37"/>
        <v>14.398200000000001</v>
      </c>
      <c r="S92" s="8">
        <f t="shared" si="38"/>
        <v>143.982</v>
      </c>
      <c r="T92" s="8">
        <f t="shared" si="39"/>
        <v>1439.82</v>
      </c>
      <c r="V92" s="8">
        <f t="shared" si="26"/>
        <v>14910.695745487792</v>
      </c>
      <c r="W92" s="8">
        <f t="shared" si="27"/>
        <v>29456.681124100454</v>
      </c>
      <c r="X92" s="8">
        <f t="shared" si="28"/>
        <v>54696.057331015021</v>
      </c>
      <c r="Z92" s="22">
        <f t="shared" si="29"/>
        <v>1035594.4316294946</v>
      </c>
      <c r="AA92" s="22">
        <f t="shared" si="30"/>
        <v>204585.858816383</v>
      </c>
      <c r="AB92" s="22">
        <f t="shared" si="31"/>
        <v>37988.121661745929</v>
      </c>
      <c r="AC92" s="22"/>
      <c r="AD92" s="22">
        <v>19378.11774690196</v>
      </c>
      <c r="AE92" s="22">
        <v>33478.966528853402</v>
      </c>
      <c r="AF92" s="22">
        <v>58003.22040566241</v>
      </c>
      <c r="AG92" s="22"/>
      <c r="AH92" s="24">
        <f t="shared" si="25"/>
        <v>1345870.8551695324</v>
      </c>
      <c r="AI92" s="24">
        <f t="shared" si="32"/>
        <v>232521.88835308165</v>
      </c>
      <c r="AJ92" s="24">
        <f t="shared" si="33"/>
        <v>40285.04980182412</v>
      </c>
      <c r="AK92" s="25"/>
      <c r="AL92" s="41">
        <v>16822.650538000002</v>
      </c>
      <c r="AM92" s="22">
        <v>28399.036949000001</v>
      </c>
      <c r="AN92" s="22">
        <v>46097.110897500002</v>
      </c>
      <c r="AO92" s="25"/>
      <c r="AP92" s="45">
        <f>AL92/'TA1'!I98</f>
        <v>6.5068566140024292E-2</v>
      </c>
      <c r="AQ92" s="45">
        <f>AM92/'TA1'!H98</f>
        <v>4.7331944122230685E-2</v>
      </c>
      <c r="AR92" s="45">
        <f>AN92/'TA1'!F98</f>
        <v>3.2644914235116035E-2</v>
      </c>
      <c r="AS92" s="25"/>
      <c r="AT92" s="41">
        <v>16295.451886000001</v>
      </c>
      <c r="AU92" s="22">
        <v>27912.436893999999</v>
      </c>
      <c r="AV92" s="22">
        <v>45658.022487100003</v>
      </c>
      <c r="AW92" s="25"/>
      <c r="AX92" s="45">
        <f>AT92/'TA1'!Q98</f>
        <v>7.3294751194928134E-2</v>
      </c>
      <c r="AY92" s="45">
        <f>AU92/'TA1'!P98</f>
        <v>5.3588810486267187E-2</v>
      </c>
      <c r="AZ92" s="45">
        <f>AV92/'TA1'!N98</f>
        <v>3.6955152454437888E-2</v>
      </c>
      <c r="BB92" s="41">
        <v>14338.520665</v>
      </c>
      <c r="BC92" s="22">
        <v>24955.146724999999</v>
      </c>
      <c r="BD92" s="22">
        <v>42923.248010099996</v>
      </c>
      <c r="BE92" s="25"/>
      <c r="BF92" s="45">
        <f>BB92/'TA1'!AJ98</f>
        <v>3.9038237245964322E-2</v>
      </c>
      <c r="BG92" s="45">
        <f>BC92/'TA1'!AI98</f>
        <v>2.967138941752314E-2</v>
      </c>
      <c r="BH92" s="45">
        <f>BD92/'TA1'!AG98</f>
        <v>2.2226745759385731E-2</v>
      </c>
    </row>
    <row r="93" spans="1:60">
      <c r="A93" s="39">
        <v>2005</v>
      </c>
      <c r="B93" s="26">
        <v>6.5639585256576538E-2</v>
      </c>
      <c r="C93" s="26">
        <v>5.7614456862211227E-2</v>
      </c>
      <c r="D93" s="26">
        <v>4.591037705540657E-2</v>
      </c>
      <c r="E93" s="5"/>
      <c r="F93" s="57">
        <v>1.2140926151047373</v>
      </c>
      <c r="G93" s="10"/>
      <c r="H93" s="70">
        <v>3.2879999999999998</v>
      </c>
      <c r="I93" s="71">
        <v>7.7610000000000001</v>
      </c>
      <c r="J93" s="72">
        <v>17.681000000000001</v>
      </c>
      <c r="K93" s="7"/>
      <c r="L93" s="21">
        <v>6830211</v>
      </c>
      <c r="M93" s="21">
        <f t="shared" si="34"/>
        <v>224577.33768</v>
      </c>
      <c r="N93" s="21">
        <f t="shared" si="35"/>
        <v>530092.67570999998</v>
      </c>
      <c r="O93" s="21">
        <f t="shared" si="36"/>
        <v>1207649.6069100001</v>
      </c>
      <c r="P93" s="21"/>
      <c r="Q93" s="69">
        <v>145881</v>
      </c>
      <c r="R93" s="8">
        <f t="shared" si="37"/>
        <v>14.588100000000001</v>
      </c>
      <c r="S93" s="8">
        <f t="shared" si="38"/>
        <v>145.881</v>
      </c>
      <c r="T93" s="8">
        <f t="shared" si="39"/>
        <v>1458.81</v>
      </c>
      <c r="V93" s="8">
        <f t="shared" si="26"/>
        <v>17897.137504639675</v>
      </c>
      <c r="W93" s="8">
        <f t="shared" si="27"/>
        <v>37079.604497630608</v>
      </c>
      <c r="X93" s="8">
        <f t="shared" si="28"/>
        <v>67313.724567459692</v>
      </c>
      <c r="Z93" s="22">
        <f t="shared" si="29"/>
        <v>1226831.2874630471</v>
      </c>
      <c r="AA93" s="22">
        <f t="shared" si="30"/>
        <v>254177.06553718858</v>
      </c>
      <c r="AB93" s="22">
        <f t="shared" si="31"/>
        <v>46142.900423948078</v>
      </c>
      <c r="AC93" s="22"/>
      <c r="AD93" s="22">
        <v>23211.516988014777</v>
      </c>
      <c r="AE93" s="22">
        <v>41545.093186188678</v>
      </c>
      <c r="AF93" s="22">
        <v>69877.455097470534</v>
      </c>
      <c r="AG93" s="22"/>
      <c r="AH93" s="24">
        <f t="shared" si="25"/>
        <v>1591126.8080157647</v>
      </c>
      <c r="AI93" s="24">
        <f t="shared" si="32"/>
        <v>284787.55414473906</v>
      </c>
      <c r="AJ93" s="24">
        <f t="shared" si="33"/>
        <v>47900.312650359228</v>
      </c>
      <c r="AK93" s="25"/>
      <c r="AL93" s="41">
        <v>20999.064263</v>
      </c>
      <c r="AM93" s="22">
        <v>36136.545160000001</v>
      </c>
      <c r="AN93" s="22">
        <v>57297.016098200002</v>
      </c>
      <c r="AO93" s="25"/>
      <c r="AP93" s="45">
        <f>AL93/'TA1'!I99</f>
        <v>6.7047800906891331E-2</v>
      </c>
      <c r="AQ93" s="45">
        <f>AM93/'TA1'!H99</f>
        <v>5.0595764211039403E-2</v>
      </c>
      <c r="AR93" s="45">
        <f>AN93/'TA1'!F99</f>
        <v>3.5490734088573492E-2</v>
      </c>
      <c r="AS93" s="25"/>
      <c r="AT93" s="41">
        <v>20319.562273</v>
      </c>
      <c r="AU93" s="22">
        <v>35437.595478000003</v>
      </c>
      <c r="AV93" s="22">
        <v>56766.463549100008</v>
      </c>
      <c r="AW93" s="25"/>
      <c r="AX93" s="45">
        <f>AT93/'TA1'!Q99</f>
        <v>7.6030315386460337E-2</v>
      </c>
      <c r="AY93" s="45">
        <f>AU93/'TA1'!P99</f>
        <v>5.7655656204639097E-2</v>
      </c>
      <c r="AZ93" s="45">
        <f>AV93/'TA1'!N99</f>
        <v>4.0590410186992505E-2</v>
      </c>
      <c r="BB93" s="41">
        <v>17617.504308</v>
      </c>
      <c r="BC93" s="22">
        <v>31946.155655999999</v>
      </c>
      <c r="BD93" s="22">
        <v>53761.340089899997</v>
      </c>
      <c r="BE93" s="25"/>
      <c r="BF93" s="45">
        <f>BB93/'TA1'!AJ99</f>
        <v>4.0501197344552702E-2</v>
      </c>
      <c r="BG93" s="45">
        <f>BC93/'TA1'!AI99</f>
        <v>3.2374635280475371E-2</v>
      </c>
      <c r="BH93" s="45">
        <f>BD93/'TA1'!AG99</f>
        <v>2.468846305256886E-2</v>
      </c>
    </row>
    <row r="94" spans="1:60">
      <c r="A94" s="39">
        <v>2006</v>
      </c>
      <c r="B94" s="26">
        <v>7.6668843626976013E-2</v>
      </c>
      <c r="C94" s="26">
        <v>5.5961411446332932E-2</v>
      </c>
      <c r="D94" s="26">
        <v>4.3066296726465225E-2</v>
      </c>
      <c r="E94" s="5"/>
      <c r="F94" s="57">
        <v>1.1755499924029995</v>
      </c>
      <c r="G94" s="10"/>
      <c r="H94" s="70">
        <v>3.323</v>
      </c>
      <c r="I94" s="71">
        <v>7.9180000000000001</v>
      </c>
      <c r="J94" s="72">
        <v>18.059000000000001</v>
      </c>
      <c r="K94" s="7"/>
      <c r="L94" s="21">
        <v>7306449.3195187682</v>
      </c>
      <c r="M94" s="21">
        <f t="shared" si="34"/>
        <v>242793.31088760868</v>
      </c>
      <c r="N94" s="21">
        <f t="shared" si="35"/>
        <v>578524.65711949614</v>
      </c>
      <c r="O94" s="21">
        <f t="shared" si="36"/>
        <v>1319471.6826118946</v>
      </c>
      <c r="P94" s="21"/>
      <c r="Q94" s="69">
        <v>148361</v>
      </c>
      <c r="R94" s="8">
        <f t="shared" si="37"/>
        <v>14.8361</v>
      </c>
      <c r="S94" s="8">
        <f t="shared" si="38"/>
        <v>148.36099999999999</v>
      </c>
      <c r="T94" s="8">
        <f t="shared" si="39"/>
        <v>1483.6100000000001</v>
      </c>
      <c r="V94" s="8">
        <f t="shared" si="26"/>
        <v>21882.489737585078</v>
      </c>
      <c r="W94" s="8">
        <f t="shared" si="27"/>
        <v>38058.497268522129</v>
      </c>
      <c r="X94" s="8">
        <f t="shared" si="28"/>
        <v>66800.345017255662</v>
      </c>
      <c r="Z94" s="22">
        <f t="shared" si="29"/>
        <v>1474948.9244198324</v>
      </c>
      <c r="AA94" s="22">
        <f t="shared" si="30"/>
        <v>256526.29241190158</v>
      </c>
      <c r="AB94" s="22">
        <f t="shared" si="31"/>
        <v>45025.542438548982</v>
      </c>
      <c r="AC94" s="22"/>
      <c r="AD94" s="22">
        <v>24804.64506722895</v>
      </c>
      <c r="AE94" s="22">
        <v>41785.32598906452</v>
      </c>
      <c r="AF94" s="22">
        <v>69433.839871047181</v>
      </c>
      <c r="AG94" s="22"/>
      <c r="AH94" s="24">
        <f t="shared" si="25"/>
        <v>1671911.423300527</v>
      </c>
      <c r="AI94" s="24">
        <f t="shared" si="32"/>
        <v>281646.29511168378</v>
      </c>
      <c r="AJ94" s="24">
        <f t="shared" si="33"/>
        <v>46800.60114925565</v>
      </c>
      <c r="AK94" s="25"/>
      <c r="AL94" s="41">
        <v>22977.720781</v>
      </c>
      <c r="AM94" s="22">
        <v>37964.351288999998</v>
      </c>
      <c r="AN94" s="22">
        <v>59616.390997800001</v>
      </c>
      <c r="AO94" s="25"/>
      <c r="AP94" s="45">
        <f>AL94/'TA1'!I100</f>
        <v>6.8291926251416252E-2</v>
      </c>
      <c r="AQ94" s="45">
        <f>AM94/'TA1'!H100</f>
        <v>4.836369918999301E-2</v>
      </c>
      <c r="AR94" s="45">
        <f>AN94/'TA1'!F100</f>
        <v>3.3466418421970165E-2</v>
      </c>
      <c r="AS94" s="25"/>
      <c r="AT94" s="41">
        <v>22335.031083999998</v>
      </c>
      <c r="AU94" s="22">
        <v>37167.196144999994</v>
      </c>
      <c r="AV94" s="22">
        <v>58965.358924800006</v>
      </c>
      <c r="AW94" s="25"/>
      <c r="AX94" s="45">
        <f>AT94/'TA1'!Q100</f>
        <v>7.8264188319906808E-2</v>
      </c>
      <c r="AY94" s="45">
        <f>AU94/'TA1'!P100</f>
        <v>5.5266841933302412E-2</v>
      </c>
      <c r="AZ94" s="45">
        <f>AV94/'TA1'!N100</f>
        <v>3.8351700319080827E-2</v>
      </c>
      <c r="BB94" s="41">
        <v>19684.069985999999</v>
      </c>
      <c r="BC94" s="22">
        <v>33444.631932999997</v>
      </c>
      <c r="BD94" s="22">
        <v>55281.115890300003</v>
      </c>
      <c r="BE94" s="25"/>
      <c r="BF94" s="45">
        <f>BB94/'TA1'!AJ100</f>
        <v>4.1074573452825953E-2</v>
      </c>
      <c r="BG94" s="45">
        <f>BC94/'TA1'!AI100</f>
        <v>3.0582579084181508E-2</v>
      </c>
      <c r="BH94" s="45">
        <f>BD94/'TA1'!AG100</f>
        <v>2.2911211371452554E-2</v>
      </c>
    </row>
    <row r="95" spans="1:60">
      <c r="A95" s="39">
        <v>2007</v>
      </c>
      <c r="B95" s="26">
        <v>4.8019655048847198E-2</v>
      </c>
      <c r="C95" s="26">
        <v>4.6173892915248871E-2</v>
      </c>
      <c r="D95" s="26">
        <v>3.833727166056633E-2</v>
      </c>
      <c r="E95" s="5"/>
      <c r="F95" s="57">
        <v>1.1431210270953309</v>
      </c>
      <c r="G95" s="10"/>
      <c r="H95" s="70">
        <v>3.5289999999999999</v>
      </c>
      <c r="I95" s="71">
        <v>8.1609999999999996</v>
      </c>
      <c r="J95" s="72">
        <v>18.327000000000002</v>
      </c>
      <c r="K95" s="7"/>
      <c r="L95" s="21">
        <v>7805494.7922576042</v>
      </c>
      <c r="M95" s="21">
        <f t="shared" si="34"/>
        <v>275455.91121877084</v>
      </c>
      <c r="N95" s="21">
        <f t="shared" si="35"/>
        <v>637006.4299961431</v>
      </c>
      <c r="O95" s="21">
        <f t="shared" si="36"/>
        <v>1430513.0305770515</v>
      </c>
      <c r="P95" s="21"/>
      <c r="Q95" s="69">
        <v>149875</v>
      </c>
      <c r="R95" s="8">
        <f t="shared" si="37"/>
        <v>14.987500000000001</v>
      </c>
      <c r="S95" s="8">
        <f t="shared" si="38"/>
        <v>149.875</v>
      </c>
      <c r="T95" s="8">
        <f t="shared" si="39"/>
        <v>1498.75</v>
      </c>
      <c r="V95" s="8">
        <f t="shared" si="26"/>
        <v>15120.402290146099</v>
      </c>
      <c r="W95" s="8">
        <f t="shared" si="27"/>
        <v>33622.69499894281</v>
      </c>
      <c r="X95" s="8">
        <f t="shared" si="28"/>
        <v>62691.005264551801</v>
      </c>
      <c r="Z95" s="22">
        <f t="shared" si="29"/>
        <v>1008867.5422949856</v>
      </c>
      <c r="AA95" s="22">
        <f t="shared" si="30"/>
        <v>224338.24853339655</v>
      </c>
      <c r="AB95" s="22">
        <f t="shared" si="31"/>
        <v>41828.860893779354</v>
      </c>
      <c r="AC95" s="22"/>
      <c r="AD95" s="22">
        <v>27997.143792611307</v>
      </c>
      <c r="AE95" s="22">
        <v>46098.928943134335</v>
      </c>
      <c r="AF95" s="22">
        <v>74129.929528802226</v>
      </c>
      <c r="AG95" s="22"/>
      <c r="AH95" s="24">
        <f t="shared" si="25"/>
        <v>1868032.9469632232</v>
      </c>
      <c r="AI95" s="24">
        <f t="shared" si="32"/>
        <v>307582.51171399059</v>
      </c>
      <c r="AJ95" s="24">
        <f t="shared" si="33"/>
        <v>49461.170661419332</v>
      </c>
      <c r="AK95" s="25"/>
      <c r="AL95" s="41">
        <v>25679.443727000002</v>
      </c>
      <c r="AM95" s="22">
        <v>42273.524919000003</v>
      </c>
      <c r="AN95" s="22">
        <v>64831.457283700001</v>
      </c>
      <c r="AO95" s="25"/>
      <c r="AP95" s="45">
        <f>AL95/'TA1'!I101</f>
        <v>7.3911854518182205E-2</v>
      </c>
      <c r="AQ95" s="45">
        <f>AM95/'TA1'!H101</f>
        <v>5.2881880823035972E-2</v>
      </c>
      <c r="AR95" s="45">
        <f>AN95/'TA1'!F101</f>
        <v>3.5620423131417785E-2</v>
      </c>
      <c r="AS95" s="25"/>
      <c r="AT95" s="41">
        <v>24831.767518000001</v>
      </c>
      <c r="AU95" s="22">
        <v>41092.000574999998</v>
      </c>
      <c r="AV95" s="22">
        <v>63768.769873099998</v>
      </c>
      <c r="AW95" s="25"/>
      <c r="AX95" s="45">
        <f>AT95/'TA1'!Q101</f>
        <v>8.3753276818862771E-2</v>
      </c>
      <c r="AY95" s="45">
        <f>AU95/'TA1'!P101</f>
        <v>5.971372040050596E-2</v>
      </c>
      <c r="AZ95" s="45">
        <f>AV95/'TA1'!N101</f>
        <v>4.044355579671529E-2</v>
      </c>
      <c r="BB95" s="41">
        <v>22988.298514999999</v>
      </c>
      <c r="BC95" s="22">
        <v>38055.172219</v>
      </c>
      <c r="BD95" s="22">
        <v>60771.548018200003</v>
      </c>
      <c r="BE95" s="25"/>
      <c r="BF95" s="45">
        <f>BB95/'TA1'!AJ101</f>
        <v>4.5338684182718414E-2</v>
      </c>
      <c r="BG95" s="45">
        <f>BC95/'TA1'!AI101</f>
        <v>3.4100048701327983E-2</v>
      </c>
      <c r="BH95" s="45">
        <f>BD95/'TA1'!AG101</f>
        <v>2.4830741408046138E-2</v>
      </c>
    </row>
    <row r="96" spans="1:60">
      <c r="A96" s="39">
        <v>2008</v>
      </c>
      <c r="B96" s="26">
        <v>5.7341277599334717E-2</v>
      </c>
      <c r="C96" s="26">
        <v>4.6213582158088684E-2</v>
      </c>
      <c r="D96" s="26">
        <v>3.5879213362932205E-2</v>
      </c>
      <c r="E96" s="5"/>
      <c r="F96" s="57">
        <v>1.1008532161651259</v>
      </c>
      <c r="G96" s="10"/>
      <c r="H96" s="70">
        <v>3.3730000000000002</v>
      </c>
      <c r="I96" s="71">
        <v>7.8159999999999998</v>
      </c>
      <c r="J96" s="72">
        <v>17.891999999999999</v>
      </c>
      <c r="K96" s="7"/>
      <c r="L96" s="21">
        <v>7814407</v>
      </c>
      <c r="M96" s="21">
        <f t="shared" si="34"/>
        <v>263579.94811</v>
      </c>
      <c r="N96" s="21">
        <f t="shared" si="35"/>
        <v>610774.05111999996</v>
      </c>
      <c r="O96" s="21">
        <f t="shared" si="36"/>
        <v>1398153.70044</v>
      </c>
      <c r="P96" s="21"/>
      <c r="Q96" s="69">
        <v>152462</v>
      </c>
      <c r="R96" s="8">
        <f t="shared" si="37"/>
        <v>15.2462</v>
      </c>
      <c r="S96" s="8">
        <f t="shared" si="38"/>
        <v>152.46199999999999</v>
      </c>
      <c r="T96" s="8">
        <f t="shared" si="39"/>
        <v>1524.6200000000001</v>
      </c>
      <c r="V96" s="8">
        <f t="shared" si="26"/>
        <v>16638.307590096196</v>
      </c>
      <c r="W96" s="8">
        <f t="shared" si="27"/>
        <v>31072.74539854129</v>
      </c>
      <c r="X96" s="8">
        <f t="shared" si="28"/>
        <v>55223.921719992126</v>
      </c>
      <c r="Z96" s="22">
        <f t="shared" si="29"/>
        <v>1091308.4958938092</v>
      </c>
      <c r="AA96" s="22">
        <f t="shared" si="30"/>
        <v>203806.49209994159</v>
      </c>
      <c r="AB96" s="22">
        <f t="shared" si="31"/>
        <v>36221.433353879736</v>
      </c>
      <c r="AC96" s="22"/>
      <c r="AD96" s="22">
        <v>19618.280358652337</v>
      </c>
      <c r="AE96" s="22">
        <v>33229.051651858696</v>
      </c>
      <c r="AF96" s="22">
        <v>56447.302770956288</v>
      </c>
      <c r="AG96" s="22"/>
      <c r="AH96" s="24">
        <f t="shared" si="25"/>
        <v>1286765.2502690728</v>
      </c>
      <c r="AI96" s="24">
        <f t="shared" si="32"/>
        <v>217949.72945296991</v>
      </c>
      <c r="AJ96" s="24">
        <f t="shared" si="33"/>
        <v>37023.850383017591</v>
      </c>
      <c r="AK96" s="25"/>
      <c r="AL96" s="41">
        <v>18380.284774</v>
      </c>
      <c r="AM96" s="22">
        <v>30396.249393999999</v>
      </c>
      <c r="AN96" s="22">
        <v>49481.609147700001</v>
      </c>
      <c r="AO96" s="25"/>
      <c r="AP96" s="45">
        <f>AL96/'TA1'!I102</f>
        <v>5.6275569202281647E-2</v>
      </c>
      <c r="AQ96" s="45">
        <f>AM96/'TA1'!H102</f>
        <v>4.0553126084806983E-2</v>
      </c>
      <c r="AR96" s="45">
        <f>AN96/'TA1'!F102</f>
        <v>2.8258135206020243E-2</v>
      </c>
      <c r="AS96" s="25"/>
      <c r="AT96" s="41">
        <v>18025.267297999999</v>
      </c>
      <c r="AU96" s="22">
        <v>29745.112491</v>
      </c>
      <c r="AV96" s="22">
        <v>48860.789814700001</v>
      </c>
      <c r="AW96" s="25"/>
      <c r="AX96" s="45">
        <f>AT96/'TA1'!Q102</f>
        <v>6.3582230751686578E-2</v>
      </c>
      <c r="AY96" s="45">
        <f>AU96/'TA1'!P102</f>
        <v>4.5333259731905891E-2</v>
      </c>
      <c r="AZ96" s="45">
        <f>AV96/'TA1'!N102</f>
        <v>3.1714194172909972E-2</v>
      </c>
      <c r="BB96" s="41">
        <v>16689.069454</v>
      </c>
      <c r="BC96" s="22">
        <v>28410.719157</v>
      </c>
      <c r="BD96" s="22">
        <v>47506.244443799995</v>
      </c>
      <c r="BE96" s="25"/>
      <c r="BF96" s="45">
        <f>BB96/'TA1'!AJ102</f>
        <v>3.2608420468043804E-2</v>
      </c>
      <c r="BG96" s="45">
        <f>BC96/'TA1'!AI102</f>
        <v>2.5575428278428972E-2</v>
      </c>
      <c r="BH96" s="45">
        <f>BD96/'TA1'!AG102</f>
        <v>1.9580568071485994E-2</v>
      </c>
    </row>
    <row r="97" spans="1:60">
      <c r="A97" s="39">
        <v>2009</v>
      </c>
      <c r="B97" s="26">
        <v>9.3117699027061462E-2</v>
      </c>
      <c r="C97" s="26">
        <v>5.9104848653078079E-2</v>
      </c>
      <c r="D97" s="26">
        <v>3.9218943566083908E-2</v>
      </c>
      <c r="E97" s="5"/>
      <c r="F97" s="57">
        <v>1.1047837902086823</v>
      </c>
      <c r="G97" s="10"/>
      <c r="H97" s="70">
        <v>3.0649999999999999</v>
      </c>
      <c r="I97" s="71">
        <v>7.0389999999999997</v>
      </c>
      <c r="J97" s="72">
        <v>16.678999999999998</v>
      </c>
      <c r="K97" s="7"/>
      <c r="L97" s="21">
        <v>7384699</v>
      </c>
      <c r="M97" s="21">
        <f t="shared" si="34"/>
        <v>226341.02434999999</v>
      </c>
      <c r="N97" s="21">
        <f t="shared" si="35"/>
        <v>519808.96260999999</v>
      </c>
      <c r="O97" s="21">
        <f t="shared" si="36"/>
        <v>1231693.94621</v>
      </c>
      <c r="P97" s="21"/>
      <c r="Q97" s="69">
        <v>153543</v>
      </c>
      <c r="R97" s="8">
        <f t="shared" si="37"/>
        <v>15.3543</v>
      </c>
      <c r="S97" s="8">
        <f t="shared" si="38"/>
        <v>153.54300000000001</v>
      </c>
      <c r="T97" s="8">
        <f t="shared" si="39"/>
        <v>1535.43</v>
      </c>
      <c r="V97" s="8">
        <f t="shared" si="26"/>
        <v>23284.815783705522</v>
      </c>
      <c r="W97" s="8">
        <f t="shared" si="27"/>
        <v>33942.526557092569</v>
      </c>
      <c r="X97" s="8">
        <f t="shared" si="28"/>
        <v>53367.393407679214</v>
      </c>
      <c r="Z97" s="22">
        <f t="shared" si="29"/>
        <v>1516501.2917362251</v>
      </c>
      <c r="AA97" s="22">
        <f t="shared" si="30"/>
        <v>221062.02534203816</v>
      </c>
      <c r="AB97" s="22">
        <f t="shared" si="31"/>
        <v>34757.294964719469</v>
      </c>
      <c r="AC97" s="22"/>
      <c r="AD97" s="22">
        <v>15190.43936970731</v>
      </c>
      <c r="AE97" s="22">
        <v>26292.207744369742</v>
      </c>
      <c r="AF97" s="22">
        <v>46360.060652336513</v>
      </c>
      <c r="AG97" s="22"/>
      <c r="AH97" s="24">
        <f t="shared" si="25"/>
        <v>989328.02991392056</v>
      </c>
      <c r="AI97" s="24">
        <f t="shared" si="32"/>
        <v>171236.77239841438</v>
      </c>
      <c r="AJ97" s="24">
        <f t="shared" si="33"/>
        <v>30193.535786285611</v>
      </c>
      <c r="AK97" s="25"/>
      <c r="AL97" s="41">
        <v>15446.945035000001</v>
      </c>
      <c r="AM97" s="22">
        <v>25337.914535900003</v>
      </c>
      <c r="AN97" s="22">
        <v>42126.005696499997</v>
      </c>
      <c r="AO97" s="25"/>
      <c r="AP97" s="45">
        <f>AL97/'TA1'!I103</f>
        <v>5.1690802676712548E-2</v>
      </c>
      <c r="AQ97" s="45">
        <f>AM97/'TA1'!H103</f>
        <v>3.7936220191234354E-2</v>
      </c>
      <c r="AR97" s="45">
        <f>AN97/'TA1'!F103</f>
        <v>2.6337433769594409E-2</v>
      </c>
      <c r="AS97" s="25"/>
      <c r="AT97" s="41">
        <v>14991.48596</v>
      </c>
      <c r="AU97" s="22">
        <v>24897.805888399998</v>
      </c>
      <c r="AV97" s="22">
        <v>41678.5608364</v>
      </c>
      <c r="AW97" s="25"/>
      <c r="AX97" s="45">
        <f>AT97/'TA1'!Q103</f>
        <v>5.8040255854226577E-2</v>
      </c>
      <c r="AY97" s="45">
        <f>AU97/'TA1'!P103</f>
        <v>4.2678398126314507E-2</v>
      </c>
      <c r="AZ97" s="45">
        <f>AV97/'TA1'!N103</f>
        <v>2.9620948186082761E-2</v>
      </c>
      <c r="BB97" s="41">
        <v>12795.335835</v>
      </c>
      <c r="BC97" s="22">
        <v>22203.611933100001</v>
      </c>
      <c r="BD97" s="22">
        <v>38752.165550700003</v>
      </c>
      <c r="BE97" s="25"/>
      <c r="BF97" s="45">
        <f>BB97/'TA1'!AJ103</f>
        <v>2.5337156303296447E-2</v>
      </c>
      <c r="BG97" s="45">
        <f>BC97/'TA1'!AI103</f>
        <v>2.1408476452096415E-2</v>
      </c>
      <c r="BH97" s="45">
        <f>BD97/'TA1'!AG103</f>
        <v>1.723611390626046E-2</v>
      </c>
    </row>
    <row r="98" spans="1:60">
      <c r="A98" s="39">
        <v>2010</v>
      </c>
      <c r="B98" s="26">
        <v>8.8891275227069855E-2</v>
      </c>
      <c r="C98" s="26">
        <v>5.9766091406345367E-2</v>
      </c>
      <c r="D98" s="26">
        <v>4.1232377290725708E-2</v>
      </c>
      <c r="E98" s="5"/>
      <c r="F98" s="57">
        <v>1.0869547272260338</v>
      </c>
      <c r="G98" s="10"/>
      <c r="H98" s="70">
        <v>3.31</v>
      </c>
      <c r="I98" s="71">
        <v>7.516</v>
      </c>
      <c r="J98" s="72">
        <v>17.451000000000001</v>
      </c>
      <c r="K98" s="7"/>
      <c r="L98" s="21">
        <v>7673618</v>
      </c>
      <c r="M98" s="21">
        <f t="shared" si="34"/>
        <v>253996.75580000001</v>
      </c>
      <c r="N98" s="21">
        <f t="shared" si="35"/>
        <v>576749.12887999997</v>
      </c>
      <c r="O98" s="21">
        <f t="shared" si="36"/>
        <v>1339123.07718</v>
      </c>
      <c r="P98" s="21"/>
      <c r="Q98" s="69">
        <v>156167</v>
      </c>
      <c r="R98" s="8">
        <f t="shared" si="37"/>
        <v>15.616700000000002</v>
      </c>
      <c r="S98" s="8">
        <f t="shared" si="38"/>
        <v>156.167</v>
      </c>
      <c r="T98" s="8">
        <f t="shared" si="39"/>
        <v>1561.67</v>
      </c>
      <c r="V98" s="8">
        <f t="shared" si="26"/>
        <v>24541.367664399546</v>
      </c>
      <c r="W98" s="8">
        <f t="shared" si="27"/>
        <v>37467.374181290295</v>
      </c>
      <c r="X98" s="8">
        <f t="shared" si="28"/>
        <v>60016.453042727866</v>
      </c>
      <c r="Z98" s="22">
        <f t="shared" si="29"/>
        <v>1571482.3019203509</v>
      </c>
      <c r="AA98" s="22">
        <f t="shared" si="30"/>
        <v>239918.63954158238</v>
      </c>
      <c r="AB98" s="22">
        <f t="shared" si="31"/>
        <v>38430.944465045657</v>
      </c>
      <c r="AC98" s="22"/>
      <c r="AD98" s="22">
        <v>18671.90283440243</v>
      </c>
      <c r="AE98" s="22">
        <v>31601.454881775007</v>
      </c>
      <c r="AF98" s="22">
        <v>53805.504521936717</v>
      </c>
      <c r="AG98" s="22"/>
      <c r="AH98" s="24">
        <f t="shared" si="25"/>
        <v>1195636.9037250143</v>
      </c>
      <c r="AI98" s="24">
        <f t="shared" si="32"/>
        <v>202356.80317720777</v>
      </c>
      <c r="AJ98" s="24">
        <f t="shared" si="33"/>
        <v>34453.824765755067</v>
      </c>
      <c r="AK98" s="25"/>
      <c r="AL98" s="41">
        <v>18999.829103</v>
      </c>
      <c r="AM98" s="22">
        <v>30895.275859000001</v>
      </c>
      <c r="AN98" s="22">
        <v>49320.501365899996</v>
      </c>
      <c r="AO98" s="25"/>
      <c r="AP98" s="45">
        <f>AL98/'TA1'!I104</f>
        <v>5.1646213500255382E-2</v>
      </c>
      <c r="AQ98" s="45">
        <f>AM98/'TA1'!H104</f>
        <v>3.8634136380525534E-2</v>
      </c>
      <c r="AR98" s="45">
        <f>AN98/'TA1'!F104</f>
        <v>2.6950031204153183E-2</v>
      </c>
      <c r="AS98" s="25"/>
      <c r="AT98" s="41">
        <v>18739.771964</v>
      </c>
      <c r="AU98" s="22">
        <v>30634.986757999999</v>
      </c>
      <c r="AV98" s="22">
        <v>49177.304791899995</v>
      </c>
      <c r="AW98" s="25"/>
      <c r="AX98" s="45">
        <f>AT98/'TA1'!Q104</f>
        <v>5.9112221621567901E-2</v>
      </c>
      <c r="AY98" s="45">
        <f>AU98/'TA1'!P104</f>
        <v>4.3960002920888391E-2</v>
      </c>
      <c r="AZ98" s="45">
        <f>AV98/'TA1'!N104</f>
        <v>3.0583172187598286E-2</v>
      </c>
      <c r="BB98" s="41">
        <v>16022.499398</v>
      </c>
      <c r="BC98" s="22">
        <v>27445.808907999999</v>
      </c>
      <c r="BD98" s="22">
        <v>46103.777419599995</v>
      </c>
      <c r="BE98" s="25"/>
      <c r="BF98" s="45">
        <f>BB98/'TA1'!AJ104</f>
        <v>2.6802615573886343E-2</v>
      </c>
      <c r="BG98" s="45">
        <f>BC98/'TA1'!AI104</f>
        <v>2.2727594029702251E-2</v>
      </c>
      <c r="BH98" s="45">
        <f>BD98/'TA1'!AG104</f>
        <v>1.8278467964633748E-2</v>
      </c>
    </row>
    <row r="99" spans="1:60">
      <c r="A99" s="39">
        <v>2011</v>
      </c>
      <c r="B99" s="26">
        <v>9.4633206725120544E-2</v>
      </c>
      <c r="C99" s="26">
        <v>6.4086958765983582E-2</v>
      </c>
      <c r="D99" s="26">
        <v>4.2626239359378815E-2</v>
      </c>
      <c r="E99" s="5"/>
      <c r="F99" s="57">
        <v>1.053694557191061</v>
      </c>
      <c r="G99" s="10"/>
      <c r="H99" s="70">
        <v>3.1579999999999999</v>
      </c>
      <c r="I99" s="71">
        <v>7.3789999999999996</v>
      </c>
      <c r="J99" s="72">
        <v>17.466999999999999</v>
      </c>
      <c r="K99" s="7"/>
      <c r="L99" s="21">
        <v>7969228</v>
      </c>
      <c r="M99" s="21">
        <f t="shared" si="34"/>
        <v>251668.22024</v>
      </c>
      <c r="N99" s="21">
        <f t="shared" si="35"/>
        <v>588049.3341199999</v>
      </c>
      <c r="O99" s="21">
        <f t="shared" si="36"/>
        <v>1391985.0547599997</v>
      </c>
      <c r="P99" s="21"/>
      <c r="Q99" s="69">
        <v>158367</v>
      </c>
      <c r="R99" s="8">
        <f t="shared" si="37"/>
        <v>15.8367</v>
      </c>
      <c r="S99" s="8">
        <f t="shared" si="38"/>
        <v>158.36699999999999</v>
      </c>
      <c r="T99" s="8">
        <f t="shared" si="39"/>
        <v>1583.67</v>
      </c>
      <c r="V99" s="8">
        <f t="shared" si="26"/>
        <v>25094.969452488822</v>
      </c>
      <c r="W99" s="8">
        <f t="shared" si="27"/>
        <v>39709.842265907428</v>
      </c>
      <c r="X99" s="8">
        <f t="shared" si="28"/>
        <v>62521.059411850445</v>
      </c>
      <c r="Z99" s="22">
        <f t="shared" si="29"/>
        <v>1584608.501296913</v>
      </c>
      <c r="AA99" s="22">
        <f t="shared" si="30"/>
        <v>250745.68733326663</v>
      </c>
      <c r="AB99" s="22">
        <f t="shared" si="31"/>
        <v>39478.590496663091</v>
      </c>
      <c r="AC99" s="22"/>
      <c r="AD99" s="22">
        <v>18288.46542945279</v>
      </c>
      <c r="AE99" s="22">
        <v>31250.545509089057</v>
      </c>
      <c r="AF99" s="22">
        <v>53990.255657314192</v>
      </c>
      <c r="AG99" s="22"/>
      <c r="AH99" s="24">
        <f>AD99/$R99*1000000/1000</f>
        <v>1154815.4242647011</v>
      </c>
      <c r="AI99" s="24">
        <f t="shared" si="32"/>
        <v>197329.90780332428</v>
      </c>
      <c r="AJ99" s="24">
        <f t="shared" si="33"/>
        <v>34091.859830213485</v>
      </c>
      <c r="AK99" s="25"/>
      <c r="AL99" s="41">
        <v>18780.647034000001</v>
      </c>
      <c r="AM99" s="22">
        <v>31146.302271</v>
      </c>
      <c r="AN99" s="22">
        <v>50447.208180599999</v>
      </c>
      <c r="AO99" s="25"/>
      <c r="AP99" s="45">
        <f>AL99/'TA1'!I105</f>
        <v>5.6213107227611636E-2</v>
      </c>
      <c r="AQ99" s="45">
        <f>AM99/'TA1'!H105</f>
        <v>4.0217189998299069E-2</v>
      </c>
      <c r="AR99" s="45">
        <f>AN99/'TA1'!F105</f>
        <v>2.7111536842624073E-2</v>
      </c>
      <c r="AS99" s="25"/>
      <c r="AT99" s="41">
        <v>18429.866352000001</v>
      </c>
      <c r="AU99" s="22">
        <v>30699.340332</v>
      </c>
      <c r="AV99" s="22">
        <v>50057.984412699996</v>
      </c>
      <c r="AW99" s="25"/>
      <c r="AX99" s="45">
        <f>AT99/'TA1'!Q105</f>
        <v>6.3732017097979127E-2</v>
      </c>
      <c r="AY99" s="45">
        <f>AU99/'TA1'!P105</f>
        <v>4.5252428316533769E-2</v>
      </c>
      <c r="AZ99" s="45">
        <f>AV99/'TA1'!N105</f>
        <v>3.0421156488356263E-2</v>
      </c>
      <c r="BB99" s="41">
        <v>16301.266121000001</v>
      </c>
      <c r="BC99" s="22">
        <v>27738.030070000001</v>
      </c>
      <c r="BD99" s="22">
        <v>47498.792895599996</v>
      </c>
      <c r="BE99" s="25"/>
      <c r="BF99" s="45">
        <f>BB99/'TA1'!AJ105</f>
        <v>2.8925164527472746E-2</v>
      </c>
      <c r="BG99" s="45">
        <f>BC99/'TA1'!AI105</f>
        <v>2.2886516724966208E-2</v>
      </c>
      <c r="BH99" s="45">
        <f>BD99/'TA1'!AG105</f>
        <v>1.8147883875573402E-2</v>
      </c>
    </row>
    <row r="100" spans="1:60">
      <c r="A100" s="39">
        <v>2012</v>
      </c>
      <c r="B100" s="26">
        <v>5.8285310864448547E-2</v>
      </c>
      <c r="C100" s="26">
        <v>4.5815076678991318E-2</v>
      </c>
      <c r="D100" s="26">
        <v>3.6370258778333664E-2</v>
      </c>
      <c r="E100" s="5"/>
      <c r="F100" s="57">
        <v>1.0323309842591708</v>
      </c>
      <c r="G100" s="10"/>
      <c r="H100" s="70">
        <v>3.645</v>
      </c>
      <c r="I100" s="71">
        <v>8.3559999999999999</v>
      </c>
      <c r="J100" s="72">
        <v>18.875</v>
      </c>
      <c r="K100" s="7"/>
      <c r="L100" s="21">
        <v>8499523.568375865</v>
      </c>
      <c r="M100" s="21">
        <f t="shared" si="34"/>
        <v>309807.6340673003</v>
      </c>
      <c r="N100" s="21">
        <f t="shared" si="35"/>
        <v>710220.18937348726</v>
      </c>
      <c r="O100" s="21">
        <f t="shared" si="36"/>
        <v>1604285.0735309445</v>
      </c>
      <c r="P100" s="21"/>
      <c r="Q100" s="69">
        <v>160681</v>
      </c>
      <c r="R100" s="8">
        <f t="shared" si="37"/>
        <v>16.068100000000001</v>
      </c>
      <c r="S100" s="8">
        <f t="shared" si="38"/>
        <v>160.68100000000001</v>
      </c>
      <c r="T100" s="8">
        <f t="shared" si="39"/>
        <v>1606.81</v>
      </c>
      <c r="V100" s="8">
        <f t="shared" si="26"/>
        <v>18641.042416409411</v>
      </c>
      <c r="W100" s="8">
        <f t="shared" si="27"/>
        <v>33590.803621146151</v>
      </c>
      <c r="X100" s="8">
        <f t="shared" si="28"/>
        <v>60234.720060146879</v>
      </c>
      <c r="Z100" s="22">
        <f t="shared" si="29"/>
        <v>1160127.3589540399</v>
      </c>
      <c r="AA100" s="22">
        <f t="shared" si="30"/>
        <v>209052.74189945389</v>
      </c>
      <c r="AB100" s="22">
        <f t="shared" si="31"/>
        <v>37487.14537508908</v>
      </c>
      <c r="AC100" s="22"/>
      <c r="AD100" s="22">
        <v>31348.86159054071</v>
      </c>
      <c r="AE100" s="22">
        <v>48168.644796549765</v>
      </c>
      <c r="AF100" s="22">
        <v>73314.497058092296</v>
      </c>
      <c r="AG100" s="22"/>
      <c r="AH100" s="24">
        <f>AD100/$R100*1000000/1000</f>
        <v>1950999.9060586321</v>
      </c>
      <c r="AI100" s="24">
        <f t="shared" si="32"/>
        <v>299778.0994426831</v>
      </c>
      <c r="AJ100" s="24">
        <f t="shared" si="33"/>
        <v>45627.35921365457</v>
      </c>
      <c r="AK100" s="25"/>
      <c r="AL100" s="41">
        <v>31720.807167999999</v>
      </c>
      <c r="AM100" s="22">
        <v>48170.868136999998</v>
      </c>
      <c r="AN100" s="22">
        <v>70221.608664700005</v>
      </c>
      <c r="AO100" s="25"/>
      <c r="AP100" s="45">
        <f>AL100/'TA1'!I106</f>
        <v>7.1879162345035497E-2</v>
      </c>
      <c r="AQ100" s="45">
        <f>AM100/'TA1'!H106</f>
        <v>4.9754241283390802E-2</v>
      </c>
      <c r="AR100" s="45">
        <f>AN100/'TA1'!F106</f>
        <v>3.2617813708884051E-2</v>
      </c>
      <c r="AS100" s="25"/>
      <c r="AT100" s="41">
        <v>31137.348450000001</v>
      </c>
      <c r="AU100" s="22">
        <v>47486.297893000003</v>
      </c>
      <c r="AV100" s="22">
        <v>69607.267565000002</v>
      </c>
      <c r="AW100" s="25"/>
      <c r="AX100" s="45">
        <f>AT100/'TA1'!Q106</f>
        <v>8.1387111944828436E-2</v>
      </c>
      <c r="AY100" s="45">
        <f>AU100/'TA1'!P106</f>
        <v>5.6125546620492947E-2</v>
      </c>
      <c r="AZ100" s="45">
        <f>AV100/'TA1'!N106</f>
        <v>3.6647981633491741E-2</v>
      </c>
      <c r="BB100" s="41">
        <v>28881.991902999998</v>
      </c>
      <c r="BC100" s="22">
        <v>44229.674726999998</v>
      </c>
      <c r="BD100" s="22">
        <v>66970.064174600004</v>
      </c>
      <c r="BE100" s="25"/>
      <c r="BF100" s="45">
        <f>BB100/'TA1'!AJ106</f>
        <v>4.3738373462495532E-2</v>
      </c>
      <c r="BG100" s="45">
        <f>BC100/'TA1'!AI106</f>
        <v>3.1872561768351321E-2</v>
      </c>
      <c r="BH100" s="45">
        <f>BD100/'TA1'!AG106</f>
        <v>2.2938593533556966E-2</v>
      </c>
    </row>
    <row r="101" spans="1:60">
      <c r="A101" s="39">
        <v>2013</v>
      </c>
      <c r="B101" s="26"/>
      <c r="C101" s="26"/>
      <c r="D101" s="26"/>
      <c r="F101" s="57">
        <v>1.0174281090501682</v>
      </c>
      <c r="G101" s="10"/>
      <c r="H101" s="70">
        <v>3.0910000000000002</v>
      </c>
      <c r="I101" s="71">
        <v>7.319</v>
      </c>
      <c r="J101" s="72">
        <v>17.425000000000001</v>
      </c>
      <c r="K101" s="7"/>
      <c r="L101" s="21">
        <v>8576800.24390628</v>
      </c>
      <c r="M101" s="21">
        <f t="shared" si="34"/>
        <v>265108.89553914312</v>
      </c>
      <c r="N101" s="21">
        <f t="shared" si="35"/>
        <v>627736.00985150062</v>
      </c>
      <c r="O101" s="21">
        <f t="shared" si="36"/>
        <v>1494507.4425006693</v>
      </c>
      <c r="P101" s="21"/>
      <c r="Q101" s="69">
        <v>162998</v>
      </c>
      <c r="R101" s="8">
        <f t="shared" si="37"/>
        <v>16.299800000000001</v>
      </c>
      <c r="S101" s="8">
        <f t="shared" si="38"/>
        <v>162.99799999999999</v>
      </c>
      <c r="T101" s="8">
        <f t="shared" si="39"/>
        <v>1629.98</v>
      </c>
      <c r="V101" s="8"/>
      <c r="W101" s="8"/>
      <c r="X101" s="8"/>
      <c r="Z101" s="25"/>
      <c r="AA101" s="25"/>
      <c r="AB101" s="25"/>
      <c r="AC101" s="25"/>
      <c r="AD101" s="22">
        <v>25664.843355384543</v>
      </c>
      <c r="AE101" s="22">
        <v>40641.020669714933</v>
      </c>
      <c r="AF101" s="22">
        <v>65032.315185807864</v>
      </c>
      <c r="AG101" s="25"/>
      <c r="AH101" s="24">
        <f t="shared" ref="AH101:AH102" si="40">AD101/$R101*1000000/1000</f>
        <v>1574549.586828338</v>
      </c>
      <c r="AI101" s="24">
        <f t="shared" si="32"/>
        <v>249334.47447033052</v>
      </c>
      <c r="AJ101" s="24">
        <f t="shared" si="33"/>
        <v>39897.615422157243</v>
      </c>
      <c r="AK101" s="25"/>
      <c r="AL101" s="41">
        <v>26831.442526999999</v>
      </c>
      <c r="AM101" s="22">
        <v>41397.714453000001</v>
      </c>
      <c r="AN101" s="22">
        <v>63101.07503</v>
      </c>
      <c r="AO101" s="25"/>
      <c r="AP101" s="45">
        <f>AL101/'TA1'!I107</f>
        <v>7.1865669779015151E-2</v>
      </c>
      <c r="AQ101" s="45">
        <f>AM101/'TA1'!H107</f>
        <v>4.8378574518569056E-2</v>
      </c>
      <c r="AR101" s="45">
        <f>AN101/'TA1'!F107</f>
        <v>3.1220163016323785E-2</v>
      </c>
      <c r="AS101" s="25"/>
      <c r="AT101" s="41">
        <v>25958.705548000002</v>
      </c>
      <c r="AU101" s="22">
        <v>40501.395354</v>
      </c>
      <c r="AV101" s="22">
        <v>62281.206166600008</v>
      </c>
      <c r="AW101" s="25"/>
      <c r="AX101" s="45">
        <f>AT101/'TA1'!Q107</f>
        <v>8.1626858985851772E-2</v>
      </c>
      <c r="AY101" s="45">
        <f>AU101/'TA1'!P107</f>
        <v>5.494609484124708E-2</v>
      </c>
      <c r="AZ101" s="45">
        <f>AV101/'TA1'!N107</f>
        <v>3.5240224290044253E-2</v>
      </c>
      <c r="BB101" s="41">
        <v>23762.999078000001</v>
      </c>
      <c r="BC101" s="22">
        <v>37759.321454000004</v>
      </c>
      <c r="BD101" s="22">
        <v>59734.119709300001</v>
      </c>
      <c r="BE101" s="25"/>
      <c r="BF101" s="45">
        <f>BB101/'TA1'!AJ107</f>
        <v>3.9260713571173569E-2</v>
      </c>
      <c r="BG101" s="45">
        <f>BC101/'TA1'!AI107</f>
        <v>2.9267267228611196E-2</v>
      </c>
      <c r="BH101" s="45">
        <f>BD101/'TA1'!AG107</f>
        <v>2.1120875512320308E-2</v>
      </c>
    </row>
    <row r="102" spans="1:60">
      <c r="A102" s="39">
        <v>2014</v>
      </c>
      <c r="B102" s="26"/>
      <c r="C102" s="26"/>
      <c r="D102" s="26"/>
      <c r="F102" s="57">
        <v>1.0011869762097867</v>
      </c>
      <c r="G102" s="10"/>
      <c r="H102" s="70">
        <v>3.194</v>
      </c>
      <c r="I102" s="71">
        <v>7.6210000000000004</v>
      </c>
      <c r="J102" s="72">
        <v>17.984999999999999</v>
      </c>
      <c r="K102" s="7"/>
      <c r="L102" s="21">
        <v>9098698.1030070931</v>
      </c>
      <c r="M102" s="21">
        <f t="shared" si="34"/>
        <v>290612.41741004656</v>
      </c>
      <c r="N102" s="21">
        <f t="shared" si="35"/>
        <v>693411.78243017057</v>
      </c>
      <c r="O102" s="21">
        <f t="shared" si="36"/>
        <v>1636400.8538258257</v>
      </c>
      <c r="P102" s="21"/>
      <c r="Q102" s="69">
        <v>165033</v>
      </c>
      <c r="R102" s="8">
        <f t="shared" si="37"/>
        <v>16.503299999999999</v>
      </c>
      <c r="S102" s="8">
        <f t="shared" si="38"/>
        <v>165.03300000000002</v>
      </c>
      <c r="T102" s="8">
        <f t="shared" si="39"/>
        <v>1650.33</v>
      </c>
      <c r="V102" s="8"/>
      <c r="W102" s="8"/>
      <c r="X102" s="8"/>
      <c r="Z102" s="25"/>
      <c r="AA102" s="25"/>
      <c r="AB102" s="25"/>
      <c r="AC102" s="25"/>
      <c r="AD102" s="22">
        <v>28403.686986857811</v>
      </c>
      <c r="AE102" s="22">
        <v>45606.55744923211</v>
      </c>
      <c r="AF102" s="22">
        <v>72945.361598443458</v>
      </c>
      <c r="AG102" s="25"/>
      <c r="AH102" s="24">
        <f t="shared" si="40"/>
        <v>1721091.3566897416</v>
      </c>
      <c r="AI102" s="24">
        <f t="shared" si="32"/>
        <v>276348.1088584229</v>
      </c>
      <c r="AJ102" s="24">
        <f t="shared" si="33"/>
        <v>44200.469965669574</v>
      </c>
      <c r="AK102" s="25"/>
      <c r="AL102" s="41">
        <v>31467.567184</v>
      </c>
      <c r="AM102" s="22">
        <v>48889.897939000002</v>
      </c>
      <c r="AN102" s="22">
        <v>73286.694273400004</v>
      </c>
      <c r="AO102" s="25"/>
      <c r="AP102" s="45">
        <f>AL102/'TA1'!I108</f>
        <v>7.755098708003122E-2</v>
      </c>
      <c r="AQ102" s="45">
        <f>AM102/'TA1'!H108</f>
        <v>5.2594877019521313E-2</v>
      </c>
      <c r="AR102" s="45">
        <f>AN102/'TA1'!F108</f>
        <v>3.373155562066215E-2</v>
      </c>
      <c r="AS102" s="25"/>
      <c r="AT102" s="41">
        <v>30489.761901999998</v>
      </c>
      <c r="AU102" s="22">
        <v>47721.403993999993</v>
      </c>
      <c r="AV102" s="22">
        <v>72312.941754200001</v>
      </c>
      <c r="AW102" s="25"/>
      <c r="AX102" s="45">
        <f>AT102/'TA1'!Q108</f>
        <v>8.7927245780212493E-2</v>
      </c>
      <c r="AY102" s="45">
        <f>AU102/'TA1'!P108</f>
        <v>5.9308647179533651E-2</v>
      </c>
      <c r="AZ102" s="45">
        <f>AV102/'TA1'!N108</f>
        <v>3.7989323997424489E-2</v>
      </c>
      <c r="BB102" s="41">
        <v>26612.254756999999</v>
      </c>
      <c r="BC102" s="22">
        <v>43088.660342000003</v>
      </c>
      <c r="BD102" s="22">
        <v>68256.252812699997</v>
      </c>
      <c r="BE102" s="25"/>
      <c r="BF102" s="45">
        <f>BB102/'TA1'!AJ108</f>
        <v>4.0350072408668447E-2</v>
      </c>
      <c r="BG102" s="45">
        <f>BC102/'TA1'!AI108</f>
        <v>3.0514589424520913E-2</v>
      </c>
      <c r="BH102" s="45">
        <f>BD102/'TA1'!AG108</f>
        <v>2.2311650605440148E-2</v>
      </c>
    </row>
    <row r="103" spans="1:60">
      <c r="A103" s="39">
        <v>2015</v>
      </c>
      <c r="B103" s="26"/>
      <c r="C103" s="26"/>
      <c r="D103" s="26"/>
      <c r="F103" s="57">
        <v>0.99999999999999978</v>
      </c>
      <c r="H103" s="70">
        <v>3.2930000000000001</v>
      </c>
      <c r="I103" s="71">
        <v>7.86</v>
      </c>
      <c r="J103" s="72">
        <v>18.39</v>
      </c>
      <c r="L103" s="6"/>
      <c r="M103" s="6"/>
      <c r="N103" s="6"/>
      <c r="O103" s="6"/>
      <c r="P103" s="6"/>
      <c r="Q103" s="69">
        <v>167314</v>
      </c>
      <c r="R103" s="8">
        <f t="shared" si="37"/>
        <v>16.731400000000001</v>
      </c>
      <c r="S103" s="8">
        <f t="shared" si="38"/>
        <v>167.31399999999999</v>
      </c>
      <c r="T103" s="8">
        <f t="shared" si="39"/>
        <v>1673.14</v>
      </c>
      <c r="Z103" s="25"/>
      <c r="AA103" s="25"/>
      <c r="AB103" s="25"/>
      <c r="AC103" s="25"/>
      <c r="AD103" s="22">
        <v>30112.750079999994</v>
      </c>
      <c r="AE103" s="22">
        <v>48817.443863999993</v>
      </c>
      <c r="AF103" s="22">
        <v>76839.85482399998</v>
      </c>
      <c r="AG103" s="25"/>
      <c r="AH103" s="24">
        <f>AD103/$R103*1000000/1000</f>
        <v>1799774.6799431008</v>
      </c>
      <c r="AI103" s="24">
        <f t="shared" si="32"/>
        <v>291771.4229771567</v>
      </c>
      <c r="AJ103" s="24">
        <f t="shared" si="33"/>
        <v>45925.538104402483</v>
      </c>
      <c r="AK103" s="25"/>
      <c r="AL103" s="41">
        <v>32604.690373000001</v>
      </c>
      <c r="AM103" s="22">
        <v>50930.339025000001</v>
      </c>
      <c r="AN103" s="22">
        <v>76368.896279100009</v>
      </c>
      <c r="AO103" s="25"/>
      <c r="AP103" s="45">
        <f>AL103/'TA1'!I109</f>
        <v>7.8117924949670473E-2</v>
      </c>
      <c r="AQ103" s="45">
        <f>AM103/'TA1'!H109</f>
        <v>5.3549057910277052E-2</v>
      </c>
      <c r="AR103" s="45">
        <f>AN103/'TA1'!F109</f>
        <v>3.4226612922429095E-2</v>
      </c>
      <c r="AS103" s="25"/>
      <c r="AT103" s="41">
        <v>31732.769918999998</v>
      </c>
      <c r="AU103" s="22">
        <v>49990.557362</v>
      </c>
      <c r="AV103" s="22">
        <v>75578.853598799993</v>
      </c>
      <c r="AW103" s="25"/>
      <c r="AX103" s="45">
        <f>AT103/'TA1'!Q109</f>
        <v>8.8755321398552467E-2</v>
      </c>
      <c r="AY103" s="45">
        <f>AU103/'TA1'!P109</f>
        <v>6.0576493680352658E-2</v>
      </c>
      <c r="AZ103" s="45">
        <f>AV103/'TA1'!N109</f>
        <v>3.8523420120672724E-2</v>
      </c>
      <c r="BB103" s="41">
        <v>28038.584470000002</v>
      </c>
      <c r="BC103" s="22">
        <v>46134.225789999997</v>
      </c>
      <c r="BD103" s="22">
        <v>72069.800969999997</v>
      </c>
      <c r="BE103" s="25"/>
      <c r="BF103" s="45"/>
      <c r="BG103" s="45"/>
      <c r="BH103" s="45"/>
    </row>
    <row r="104" spans="1:60">
      <c r="A104" s="39">
        <v>2016</v>
      </c>
      <c r="F104" s="10">
        <f>348.9/353.4</f>
        <v>0.98726655348047543</v>
      </c>
      <c r="L104" s="6"/>
      <c r="M104" s="6"/>
      <c r="N104" s="6"/>
      <c r="O104" s="6"/>
      <c r="P104" s="6"/>
      <c r="Q104" s="58">
        <f>Q103*1.01</f>
        <v>168987.14</v>
      </c>
      <c r="R104" s="8">
        <f t="shared" si="37"/>
        <v>16.898714000000002</v>
      </c>
      <c r="S104" s="8">
        <f t="shared" si="38"/>
        <v>168.98714000000001</v>
      </c>
      <c r="T104" s="8">
        <f t="shared" si="39"/>
        <v>1689.8714000000002</v>
      </c>
      <c r="AD104" s="22">
        <v>37095.621587058573</v>
      </c>
      <c r="AE104" s="22">
        <v>57019.536797844652</v>
      </c>
      <c r="AF104" s="22">
        <v>86260.881049184216</v>
      </c>
      <c r="AH104" s="24">
        <f>AD104/$R104*1000000/1000</f>
        <v>2195174.2355695567</v>
      </c>
      <c r="AI104" s="24">
        <f t="shared" si="32"/>
        <v>337419.38468125236</v>
      </c>
      <c r="AJ104" s="24">
        <f t="shared" si="33"/>
        <v>51045.825764720437</v>
      </c>
      <c r="AP104" s="20"/>
      <c r="AQ104" s="20"/>
      <c r="AR104" s="20"/>
      <c r="AT104" s="20"/>
      <c r="AU104" s="20"/>
      <c r="AV104" s="20"/>
      <c r="AW104" s="20"/>
      <c r="AX104" s="20"/>
      <c r="AY104" s="20"/>
      <c r="AZ104" s="20"/>
      <c r="BF104" s="20"/>
      <c r="BG104" s="20"/>
      <c r="BH104" s="20"/>
    </row>
    <row r="105" spans="1:60">
      <c r="L105" s="6"/>
      <c r="M105" s="6"/>
      <c r="N105" s="6"/>
      <c r="O105" s="6"/>
      <c r="P105" s="6"/>
      <c r="Q105" s="6"/>
      <c r="R105" s="2"/>
      <c r="S105" s="2"/>
      <c r="T105" s="2"/>
      <c r="AP105" s="4" t="s">
        <v>35</v>
      </c>
      <c r="AX105" s="4" t="s">
        <v>35</v>
      </c>
      <c r="BB105" s="2" t="s">
        <v>148</v>
      </c>
      <c r="BF105" s="4"/>
    </row>
    <row r="106" spans="1:60">
      <c r="A106" s="31" t="s">
        <v>37</v>
      </c>
      <c r="L106" s="6"/>
      <c r="M106" s="6"/>
      <c r="N106" s="6"/>
      <c r="O106" s="6"/>
      <c r="P106" s="6"/>
      <c r="Q106" s="6"/>
      <c r="R106" s="2"/>
      <c r="S106" s="2"/>
      <c r="T106" s="2"/>
      <c r="AP106" s="48">
        <f>AVERAGE(AP48:AP68)</f>
        <v>3.9452625715944788E-2</v>
      </c>
      <c r="AQ106" s="48">
        <f t="shared" ref="AQ106:AR106" si="41">AVERAGE(AQ48:AQ68)</f>
        <v>2.8921480833119097E-2</v>
      </c>
      <c r="AR106" s="48">
        <f t="shared" si="41"/>
        <v>2.1272266869378324E-2</v>
      </c>
      <c r="AX106" s="48">
        <f>AVERAGE(AX48:AX68)</f>
        <v>4.6577051712614961E-2</v>
      </c>
      <c r="AY106" s="48">
        <f t="shared" ref="AY106:AZ106" si="42">AVERAGE(AY48:AY68)</f>
        <v>3.4193043527835594E-2</v>
      </c>
      <c r="AZ106" s="48">
        <f t="shared" si="42"/>
        <v>2.4790123556348853E-2</v>
      </c>
      <c r="BF106" s="48"/>
      <c r="BG106" s="48"/>
      <c r="BH106" s="48"/>
    </row>
    <row r="107" spans="1:60">
      <c r="L107" s="6"/>
      <c r="M107" s="6"/>
      <c r="N107" s="6"/>
      <c r="O107" s="6"/>
      <c r="P107" s="6"/>
      <c r="Q107" s="6"/>
      <c r="R107" s="2"/>
      <c r="S107" s="2"/>
      <c r="T107" s="2"/>
      <c r="V107" s="8"/>
      <c r="W107" s="8"/>
      <c r="X107" s="8"/>
    </row>
    <row r="108" spans="1:60">
      <c r="L108" s="112"/>
      <c r="M108" s="112"/>
      <c r="N108" s="112"/>
      <c r="O108" s="112"/>
      <c r="P108" s="9"/>
      <c r="Q108" s="9"/>
      <c r="R108" s="2"/>
      <c r="S108" s="2"/>
      <c r="T108" s="2"/>
      <c r="AP108" s="4" t="s">
        <v>36</v>
      </c>
      <c r="AX108" s="4" t="s">
        <v>36</v>
      </c>
      <c r="BF108" s="4"/>
    </row>
    <row r="109" spans="1:60">
      <c r="L109" s="6"/>
      <c r="M109" s="6"/>
      <c r="N109" s="6"/>
      <c r="O109" s="6"/>
      <c r="P109" s="6"/>
      <c r="Q109" s="6"/>
      <c r="R109" s="2"/>
      <c r="S109" s="2"/>
      <c r="T109" s="2"/>
      <c r="AP109" s="48">
        <f>AVERAGE(AP83:AP103)</f>
        <v>6.3299694145206642E-2</v>
      </c>
      <c r="AQ109" s="48">
        <f t="shared" ref="AQ109:AR109" si="43">AVERAGE(AQ83:AQ103)</f>
        <v>4.5457815996495121E-2</v>
      </c>
      <c r="AR109" s="48">
        <f t="shared" si="43"/>
        <v>3.103325479294464E-2</v>
      </c>
      <c r="AX109" s="48">
        <f>AVERAGE(AX83:AX103)</f>
        <v>7.1020207677044672E-2</v>
      </c>
      <c r="AY109" s="48">
        <f t="shared" ref="AY109:AZ109" si="44">AVERAGE(AY83:AY103)</f>
        <v>5.1146573911723309E-2</v>
      </c>
      <c r="AZ109" s="48">
        <f t="shared" si="44"/>
        <v>3.5028567399864124E-2</v>
      </c>
      <c r="BF109" s="48"/>
      <c r="BG109" s="48"/>
      <c r="BH109" s="48"/>
    </row>
    <row r="110" spans="1:60">
      <c r="L110" s="6"/>
      <c r="M110" s="6"/>
      <c r="N110" s="6"/>
      <c r="O110" s="6"/>
      <c r="P110" s="6"/>
      <c r="Q110" s="6"/>
      <c r="R110" s="2"/>
      <c r="S110" s="2"/>
      <c r="T110" s="2"/>
      <c r="V110" s="8"/>
      <c r="W110" s="8"/>
      <c r="X110" s="8"/>
    </row>
    <row r="111" spans="1:60">
      <c r="L111" s="6"/>
      <c r="M111" s="6"/>
      <c r="N111" s="6"/>
      <c r="O111" s="6"/>
      <c r="P111" s="6"/>
      <c r="Q111" s="6"/>
      <c r="R111" s="2"/>
      <c r="S111" s="2"/>
      <c r="T111" s="2"/>
      <c r="AP111" s="4" t="s">
        <v>31</v>
      </c>
      <c r="AX111" s="4" t="s">
        <v>31</v>
      </c>
      <c r="BF111" s="4"/>
    </row>
    <row r="112" spans="1:60">
      <c r="L112" s="6"/>
      <c r="M112" s="6"/>
      <c r="N112" s="6"/>
      <c r="O112" s="6"/>
      <c r="P112" s="6"/>
      <c r="Q112" s="6"/>
      <c r="R112" s="2"/>
      <c r="S112" s="2"/>
      <c r="T112" s="2"/>
      <c r="AP112" s="49">
        <f>(AP109-AP106)/AP106</f>
        <v>0.60444819569066244</v>
      </c>
      <c r="AQ112" s="49">
        <f t="shared" ref="AQ112:AR112" si="45">(AQ109-AQ106)/AQ106</f>
        <v>0.57176654469364629</v>
      </c>
      <c r="AR112" s="49">
        <f t="shared" si="45"/>
        <v>0.45885979070793681</v>
      </c>
      <c r="AX112" s="49">
        <f>(AX109-AX106)/AX106</f>
        <v>0.52478967787069075</v>
      </c>
      <c r="AY112" s="49">
        <f t="shared" ref="AY112:AZ112" si="46">(AY109-AY106)/AY106</f>
        <v>0.49581811487726513</v>
      </c>
      <c r="AZ112" s="49">
        <f t="shared" si="46"/>
        <v>0.41300495418035799</v>
      </c>
      <c r="BF112" s="49"/>
      <c r="BG112" s="49"/>
      <c r="BH112" s="49"/>
    </row>
    <row r="113" spans="12:24">
      <c r="L113" s="6"/>
      <c r="M113" s="6"/>
      <c r="N113" s="6"/>
      <c r="O113" s="6"/>
      <c r="P113" s="6"/>
      <c r="Q113" s="6"/>
      <c r="R113" s="2"/>
      <c r="S113" s="2"/>
      <c r="T113" s="2"/>
    </row>
    <row r="114" spans="12:24">
      <c r="L114" s="6"/>
      <c r="M114" s="6"/>
      <c r="N114" s="6"/>
      <c r="O114" s="6"/>
      <c r="P114" s="6"/>
      <c r="Q114" s="6"/>
      <c r="R114" s="2"/>
      <c r="S114" s="2"/>
      <c r="T114" s="2"/>
    </row>
    <row r="115" spans="12:24">
      <c r="L115" s="6"/>
      <c r="M115" s="6"/>
      <c r="N115" s="6"/>
      <c r="O115" s="6"/>
      <c r="P115" s="6"/>
      <c r="Q115" s="6"/>
      <c r="R115" s="2"/>
      <c r="S115" s="2"/>
      <c r="T115" s="2"/>
      <c r="V115" s="56"/>
      <c r="W115" s="56"/>
      <c r="X115" s="56"/>
    </row>
    <row r="116" spans="12:24">
      <c r="L116" s="6"/>
      <c r="M116" s="6"/>
      <c r="N116" s="6"/>
      <c r="O116" s="6"/>
      <c r="P116" s="6"/>
      <c r="Q116" s="6"/>
      <c r="R116" s="2"/>
      <c r="S116" s="2"/>
      <c r="T116" s="2"/>
    </row>
    <row r="117" spans="12:24">
      <c r="L117" s="6"/>
      <c r="M117" s="6"/>
      <c r="N117" s="6"/>
      <c r="O117" s="6"/>
      <c r="P117" s="6"/>
      <c r="Q117" s="6"/>
      <c r="R117" s="2"/>
      <c r="S117" s="2"/>
      <c r="T117" s="2"/>
    </row>
    <row r="118" spans="12:24">
      <c r="L118" s="6"/>
      <c r="M118" s="6"/>
      <c r="N118" s="6"/>
      <c r="O118" s="6"/>
      <c r="P118" s="6"/>
      <c r="Q118" s="6"/>
      <c r="R118" s="2"/>
      <c r="S118" s="2"/>
      <c r="T118" s="2"/>
    </row>
  </sheetData>
  <mergeCells count="20">
    <mergeCell ref="AT2:AZ2"/>
    <mergeCell ref="BB3:BD3"/>
    <mergeCell ref="AD3:AF3"/>
    <mergeCell ref="AH3:AJ3"/>
    <mergeCell ref="BF3:BH3"/>
    <mergeCell ref="AT3:AV3"/>
    <mergeCell ref="AX3:AZ3"/>
    <mergeCell ref="B3:D3"/>
    <mergeCell ref="H3:J3"/>
    <mergeCell ref="L3:O3"/>
    <mergeCell ref="V3:X3"/>
    <mergeCell ref="Z3:AB3"/>
    <mergeCell ref="Q3:T3"/>
    <mergeCell ref="AP3:AR3"/>
    <mergeCell ref="AL3:AN3"/>
    <mergeCell ref="AD2:AJ2"/>
    <mergeCell ref="AL2:AR2"/>
    <mergeCell ref="B2:D2"/>
    <mergeCell ref="F2:T2"/>
    <mergeCell ref="V2:AB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Index</vt:lpstr>
      <vt:lpstr>T1</vt:lpstr>
      <vt:lpstr>F1-PSZ</vt:lpstr>
      <vt:lpstr>F2-AS</vt:lpstr>
      <vt:lpstr>F3-Real</vt:lpstr>
      <vt:lpstr>TA1</vt:lpstr>
      <vt:lpstr>TA2</vt:lpstr>
      <vt:lpstr>FA1-Partial</vt:lpstr>
      <vt:lpstr>Data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Splinter, David</dc:creator>
  <cp:lastModifiedBy>Inverosimil</cp:lastModifiedBy>
  <dcterms:created xsi:type="dcterms:W3CDTF">2018-08-09T19:30:34Z</dcterms:created>
  <dcterms:modified xsi:type="dcterms:W3CDTF">2018-11-02T15:13:32Z</dcterms:modified>
</cp:coreProperties>
</file>